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" state="visible" r:id="rId4"/>
    <sheet sheetId="2" name="Commission" state="visible" r:id="rId5"/>
    <sheet sheetId="3" name="Rep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<sst xmlns="http://schemas.openxmlformats.org/spreadsheetml/2006/main" count="135" uniqueCount="71">
  <si>
    <t>Date</t>
  </si>
  <si>
    <t>Rep</t>
  </si>
  <si>
    <t>Customer</t>
  </si>
  <si>
    <t>What was sold</t>
  </si>
  <si>
    <t>Sale amount</t>
  </si>
  <si>
    <t>Customer paid</t>
  </si>
  <si>
    <t>Ana Torres</t>
  </si>
  <si>
    <t>Lakeshore Dental Group</t>
  </si>
  <si>
    <t>Reception seating and front desk</t>
  </si>
  <si>
    <t>Marcus Reed</t>
  </si>
  <si>
    <t>Cobalt Insurance</t>
  </si>
  <si>
    <t>24 task chairs</t>
  </si>
  <si>
    <t>Jess Kim</t>
  </si>
  <si>
    <t>Greenfield Library</t>
  </si>
  <si>
    <t>Study tables and chairs</t>
  </si>
  <si>
    <t>Devon Hall</t>
  </si>
  <si>
    <t>Prairie Credit Union</t>
  </si>
  <si>
    <t>Branch office refresh</t>
  </si>
  <si>
    <t>Hartwell Law LLP</t>
  </si>
  <si>
    <t>Partner offices, 4 suites</t>
  </si>
  <si>
    <t>Summit Physical Therapy</t>
  </si>
  <si>
    <t>Waiting room seating</t>
  </si>
  <si>
    <t>Oak Park Pediatrics</t>
  </si>
  <si>
    <t>Exam room storage</t>
  </si>
  <si>
    <t>Riverbend Coworking</t>
  </si>
  <si>
    <t>Hot desks and lockers</t>
  </si>
  <si>
    <t>Metro Title Co.</t>
  </si>
  <si>
    <t>Conference room table and chairs</t>
  </si>
  <si>
    <t>Standing desks, 12</t>
  </si>
  <si>
    <t>Break room furniture</t>
  </si>
  <si>
    <t>Westview High School</t>
  </si>
  <si>
    <t>Teacher workroom</t>
  </si>
  <si>
    <t>Second branch</t>
  </si>
  <si>
    <t>Northgate Logistics</t>
  </si>
  <si>
    <t>Warehouse office build-out</t>
  </si>
  <si>
    <t>Children's area seating</t>
  </si>
  <si>
    <t>Bluebird Marketing</t>
  </si>
  <si>
    <t>Open office benching</t>
  </si>
  <si>
    <t>Elm Street Bakery Co.</t>
  </si>
  <si>
    <t>Office chairs, 6</t>
  </si>
  <si>
    <t>Library shelving</t>
  </si>
  <si>
    <t>Staff room tables</t>
  </si>
  <si>
    <t>Front desk</t>
  </si>
  <si>
    <t>Closing room upgrade</t>
  </si>
  <si>
    <t>Phone booths, 3</t>
  </si>
  <si>
    <t>Manager offices, 3</t>
  </si>
  <si>
    <t>Library tables</t>
  </si>
  <si>
    <t>Lounge seating</t>
  </si>
  <si>
    <t>Drive-thru teller chairs</t>
  </si>
  <si>
    <t>Break room</t>
  </si>
  <si>
    <t>Month</t>
  </si>
  <si>
    <t>Paid sales</t>
  </si>
  <si>
    <t>Tier 1 sales</t>
  </si>
  <si>
    <t>Tier 2 sales</t>
  </si>
  <si>
    <t>Tier 3 sales</t>
  </si>
  <si>
    <t>Commission</t>
  </si>
  <si>
    <t>Bonus</t>
  </si>
  <si>
    <t>Total payout</t>
  </si>
  <si>
    <t>Effective rate</t>
  </si>
  <si>
    <t>Of quota</t>
  </si>
  <si>
    <t>Tier 1 rate</t>
  </si>
  <si>
    <t>Tier 2 starts at</t>
  </si>
  <si>
    <t>Tier 2 rate</t>
  </si>
  <si>
    <t>Tier 3 starts at</t>
  </si>
  <si>
    <t>Tier 3 rate</t>
  </si>
  <si>
    <t>Monthly quota</t>
  </si>
  <si>
    <t>Bonus at quota</t>
  </si>
  <si>
    <t>Bonuses</t>
  </si>
  <si>
    <t>Months at quota</t>
  </si>
  <si>
    <t>Waiting on payment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</si>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</sst>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"/>
    <numFmt numFmtId="166" formatCode="mmmm yyyy"/>
    <numFmt numFmtId="167" formatCode="0.0%"/>
    <numFmt numFmtId="168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4" customWidth="1"/>
    <col min="4" max="4" width="32" customWidth="1"/>
    <col min="5" max="5" width="13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46205</v>
      </c>
      <c r="B2" t="s">
        <v>6</v>
      </c>
      <c r="C2" t="s">
        <v>7</v>
      </c>
      <c r="D2" t="s">
        <v>8</v>
      </c>
      <c r="E2" s="3">
        <v>6850</v>
      </c>
      <c r="F2" t="b">
        <v>1</v>
      </c>
    </row>
    <row r="3" spans="1:6" x14ac:dyDescent="0.25">
      <c r="A3" s="2">
        <v>46210</v>
      </c>
      <c r="B3" t="s">
        <v>9</v>
      </c>
      <c r="C3" t="s">
        <v>10</v>
      </c>
      <c r="D3" t="s">
        <v>11</v>
      </c>
      <c r="E3" s="3">
        <v>8640</v>
      </c>
      <c r="F3" t="b">
        <v>1</v>
      </c>
    </row>
    <row r="4" spans="1:6" x14ac:dyDescent="0.25">
      <c r="A4" s="2">
        <v>46212</v>
      </c>
      <c r="B4" t="s">
        <v>12</v>
      </c>
      <c r="C4" t="s">
        <v>13</v>
      </c>
      <c r="D4" t="s">
        <v>14</v>
      </c>
      <c r="E4" s="3">
        <v>5420</v>
      </c>
      <c r="F4" t="b">
        <v>1</v>
      </c>
    </row>
    <row r="5" spans="1:6" x14ac:dyDescent="0.25">
      <c r="A5" s="2">
        <v>46217</v>
      </c>
      <c r="B5" t="s">
        <v>15</v>
      </c>
      <c r="C5" t="s">
        <v>16</v>
      </c>
      <c r="D5" t="s">
        <v>17</v>
      </c>
      <c r="E5" s="3">
        <v>12300</v>
      </c>
      <c r="F5" t="b">
        <v>1</v>
      </c>
    </row>
    <row r="6" spans="1:6" x14ac:dyDescent="0.25">
      <c r="A6" s="2">
        <v>46219</v>
      </c>
      <c r="B6" t="s">
        <v>6</v>
      </c>
      <c r="C6" t="s">
        <v>18</v>
      </c>
      <c r="D6" t="s">
        <v>19</v>
      </c>
      <c r="E6" s="3">
        <v>14200</v>
      </c>
      <c r="F6" t="b">
        <v>1</v>
      </c>
    </row>
    <row r="7" spans="1:6" x14ac:dyDescent="0.25">
      <c r="A7" s="2">
        <v>46224</v>
      </c>
      <c r="B7" t="s">
        <v>9</v>
      </c>
      <c r="C7" t="s">
        <v>20</v>
      </c>
      <c r="D7" t="s">
        <v>21</v>
      </c>
      <c r="E7" s="3">
        <v>3150</v>
      </c>
      <c r="F7" t="b">
        <v>1</v>
      </c>
    </row>
    <row r="8" spans="1:6" x14ac:dyDescent="0.25">
      <c r="A8" s="2">
        <v>46227</v>
      </c>
      <c r="B8" t="s">
        <v>12</v>
      </c>
      <c r="C8" t="s">
        <v>22</v>
      </c>
      <c r="D8" t="s">
        <v>23</v>
      </c>
      <c r="E8" s="3">
        <v>2980</v>
      </c>
      <c r="F8" t="b">
        <v>1</v>
      </c>
    </row>
    <row r="9" spans="1:6" x14ac:dyDescent="0.25">
      <c r="A9" s="2">
        <v>46231</v>
      </c>
      <c r="B9" t="s">
        <v>6</v>
      </c>
      <c r="C9" t="s">
        <v>24</v>
      </c>
      <c r="D9" t="s">
        <v>25</v>
      </c>
      <c r="E9" s="3">
        <v>7600</v>
      </c>
      <c r="F9" t="b">
        <v>1</v>
      </c>
    </row>
    <row r="10" spans="1:6" x14ac:dyDescent="0.25">
      <c r="A10" s="2">
        <v>46233</v>
      </c>
      <c r="B10" t="s">
        <v>15</v>
      </c>
      <c r="C10" t="s">
        <v>26</v>
      </c>
      <c r="D10" t="s">
        <v>27</v>
      </c>
      <c r="E10" s="3">
        <v>4450</v>
      </c>
      <c r="F10" t="b">
        <v>1</v>
      </c>
    </row>
    <row r="11" spans="1:6" x14ac:dyDescent="0.25">
      <c r="A11" s="2">
        <v>46238</v>
      </c>
      <c r="B11" t="s">
        <v>9</v>
      </c>
      <c r="C11" t="s">
        <v>10</v>
      </c>
      <c r="D11" t="s">
        <v>28</v>
      </c>
      <c r="E11" s="3">
        <v>9360</v>
      </c>
      <c r="F11" t="b">
        <v>1</v>
      </c>
    </row>
    <row r="12" spans="1:6" x14ac:dyDescent="0.25">
      <c r="A12" s="2">
        <v>46240</v>
      </c>
      <c r="B12" t="s">
        <v>6</v>
      </c>
      <c r="C12" t="s">
        <v>7</v>
      </c>
      <c r="D12" t="s">
        <v>29</v>
      </c>
      <c r="E12" s="3">
        <v>3200</v>
      </c>
      <c r="F12" t="b">
        <v>1</v>
      </c>
    </row>
    <row r="13" spans="1:6" x14ac:dyDescent="0.25">
      <c r="A13" s="2">
        <v>46245</v>
      </c>
      <c r="B13" t="s">
        <v>12</v>
      </c>
      <c r="C13" t="s">
        <v>30</v>
      </c>
      <c r="D13" t="s">
        <v>31</v>
      </c>
      <c r="E13" s="3">
        <v>11850</v>
      </c>
      <c r="F13" t="b">
        <v>1</v>
      </c>
    </row>
    <row r="14" spans="1:6" x14ac:dyDescent="0.25">
      <c r="A14" s="2">
        <v>46247</v>
      </c>
      <c r="B14" t="s">
        <v>15</v>
      </c>
      <c r="C14" t="s">
        <v>16</v>
      </c>
      <c r="D14" t="s">
        <v>32</v>
      </c>
      <c r="E14" s="3">
        <v>11900</v>
      </c>
      <c r="F14" t="b">
        <v>1</v>
      </c>
    </row>
    <row r="15" spans="1:6" x14ac:dyDescent="0.25">
      <c r="A15" s="2">
        <v>46252</v>
      </c>
      <c r="B15" t="s">
        <v>9</v>
      </c>
      <c r="C15" t="s">
        <v>33</v>
      </c>
      <c r="D15" t="s">
        <v>34</v>
      </c>
      <c r="E15" s="3">
        <v>15400</v>
      </c>
      <c r="F15" t="b">
        <v>1</v>
      </c>
    </row>
    <row r="16" spans="1:6" x14ac:dyDescent="0.25">
      <c r="A16" s="2">
        <v>46254</v>
      </c>
      <c r="B16" t="s">
        <v>12</v>
      </c>
      <c r="C16" t="s">
        <v>13</v>
      </c>
      <c r="D16" t="s">
        <v>35</v>
      </c>
      <c r="E16" s="3">
        <v>4300</v>
      </c>
      <c r="F16" t="b">
        <v>1</v>
      </c>
    </row>
    <row r="17" spans="1:6" x14ac:dyDescent="0.25">
      <c r="A17" s="2">
        <v>46259</v>
      </c>
      <c r="B17" t="s">
        <v>6</v>
      </c>
      <c r="C17" t="s">
        <v>36</v>
      </c>
      <c r="D17" t="s">
        <v>37</v>
      </c>
      <c r="E17" s="3">
        <v>8900</v>
      </c>
      <c r="F17" t="b">
        <v>1</v>
      </c>
    </row>
    <row r="18" spans="1:6" x14ac:dyDescent="0.25">
      <c r="A18" s="2">
        <v>46261</v>
      </c>
      <c r="B18" t="s">
        <v>15</v>
      </c>
      <c r="C18" t="s">
        <v>38</v>
      </c>
      <c r="D18" t="s">
        <v>39</v>
      </c>
      <c r="E18" s="3">
        <v>1650</v>
      </c>
      <c r="F18" t="b">
        <v>1</v>
      </c>
    </row>
    <row r="19" spans="1:6" x14ac:dyDescent="0.25">
      <c r="A19" s="2">
        <v>46266</v>
      </c>
      <c r="B19" t="s">
        <v>6</v>
      </c>
      <c r="C19" t="s">
        <v>18</v>
      </c>
      <c r="D19" t="s">
        <v>40</v>
      </c>
      <c r="E19" s="3">
        <v>5600</v>
      </c>
      <c r="F19" t="b">
        <v>1</v>
      </c>
    </row>
    <row r="20" spans="1:6" x14ac:dyDescent="0.25">
      <c r="A20" s="2">
        <v>46268</v>
      </c>
      <c r="B20" t="s">
        <v>9</v>
      </c>
      <c r="C20" t="s">
        <v>20</v>
      </c>
      <c r="D20" t="s">
        <v>41</v>
      </c>
      <c r="E20" s="3">
        <v>2400</v>
      </c>
      <c r="F20" t="b">
        <v>1</v>
      </c>
    </row>
    <row r="21" spans="1:6" x14ac:dyDescent="0.25">
      <c r="A21" s="2">
        <v>46273</v>
      </c>
      <c r="B21" t="s">
        <v>12</v>
      </c>
      <c r="C21" t="s">
        <v>22</v>
      </c>
      <c r="D21" t="s">
        <v>42</v>
      </c>
      <c r="E21" s="3">
        <v>6750</v>
      </c>
      <c r="F21" t="b">
        <v>1</v>
      </c>
    </row>
    <row r="22" spans="1:6" x14ac:dyDescent="0.25">
      <c r="A22" s="2">
        <v>46275</v>
      </c>
      <c r="B22" t="s">
        <v>15</v>
      </c>
      <c r="C22" t="s">
        <v>26</v>
      </c>
      <c r="D22" t="s">
        <v>43</v>
      </c>
      <c r="E22" s="3">
        <v>7300</v>
      </c>
      <c r="F22" t="b">
        <v>1</v>
      </c>
    </row>
    <row r="23" spans="1:6" x14ac:dyDescent="0.25">
      <c r="A23" s="2">
        <v>46280</v>
      </c>
      <c r="B23" t="s">
        <v>6</v>
      </c>
      <c r="C23" t="s">
        <v>24</v>
      </c>
      <c r="D23" t="s">
        <v>44</v>
      </c>
      <c r="E23" s="3">
        <v>13800</v>
      </c>
      <c r="F23" t="b">
        <v>1</v>
      </c>
    </row>
    <row r="24" spans="1:6" x14ac:dyDescent="0.25">
      <c r="A24" s="2">
        <v>46282</v>
      </c>
      <c r="B24" t="s">
        <v>9</v>
      </c>
      <c r="C24" t="s">
        <v>10</v>
      </c>
      <c r="D24" t="s">
        <v>45</v>
      </c>
      <c r="E24" s="3">
        <v>10950</v>
      </c>
      <c r="F24" t="b">
        <v>1</v>
      </c>
    </row>
    <row r="25" spans="1:6" x14ac:dyDescent="0.25">
      <c r="A25" s="2">
        <v>46287</v>
      </c>
      <c r="B25" t="s">
        <v>12</v>
      </c>
      <c r="C25" t="s">
        <v>30</v>
      </c>
      <c r="D25" t="s">
        <v>46</v>
      </c>
      <c r="E25" s="3">
        <v>9200</v>
      </c>
      <c r="F25" t="b">
        <v>1</v>
      </c>
    </row>
    <row r="26" spans="1:6" x14ac:dyDescent="0.25">
      <c r="A26" s="2">
        <v>46289</v>
      </c>
      <c r="B26" t="s">
        <v>6</v>
      </c>
      <c r="C26" t="s">
        <v>36</v>
      </c>
      <c r="D26" t="s">
        <v>47</v>
      </c>
      <c r="E26" s="3">
        <v>4300</v>
      </c>
      <c r="F26" t="b">
        <v>0</v>
      </c>
    </row>
    <row r="27" spans="1:6" x14ac:dyDescent="0.25">
      <c r="A27" s="2">
        <v>46293</v>
      </c>
      <c r="B27" t="s">
        <v>15</v>
      </c>
      <c r="C27" t="s">
        <v>16</v>
      </c>
      <c r="D27" t="s">
        <v>48</v>
      </c>
      <c r="E27" s="3">
        <v>2100</v>
      </c>
      <c r="F27" t="b">
        <v>0</v>
      </c>
    </row>
    <row r="28" spans="1:6" x14ac:dyDescent="0.25">
      <c r="A28" s="2">
        <v>46294</v>
      </c>
      <c r="B28" t="s">
        <v>9</v>
      </c>
      <c r="C28" t="s">
        <v>33</v>
      </c>
      <c r="D28" t="s">
        <v>49</v>
      </c>
      <c r="E28" s="3">
        <v>5250</v>
      </c>
      <c r="F28" t="b">
        <v>0</v>
      </c>
    </row>
    <row r="29" spans="6:6" x14ac:dyDescent="0.25"/>
    <row r="30" spans="6:6" x14ac:dyDescent="0.25"/>
    <row r="31" spans="6:6" x14ac:dyDescent="0.25"/>
    <row r="32" spans="6:6" x14ac:dyDescent="0.25"/>
    <row r="33" spans="6:6" x14ac:dyDescent="0.25"/>
    <row r="34" spans="6:6" x14ac:dyDescent="0.25"/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</sheetData>
  <dataValidations count="2">
    <dataValidation type="list" allowBlank="1" sqref="F10:F50">
      <formula1>"TRUE,FALSE"</formula1>
    </dataValidation>
    <dataValidation type="list" allowBlank="1" sqref="F2:F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  <col min="9" max="10" width="13" customWidth="1"/>
    <col min="11" max="11" width="10" customWidth="1"/>
  </cols>
  <sheetData>
    <row r="1" spans="1:11" s="1" customFormat="1" x14ac:dyDescent="0.25">
      <c r="A1" s="1" t="s">
        <v>50</v>
      </c>
      <c r="B1" s="1" t="s">
        <v>1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x14ac:dyDescent="0.25">
      <c r="A2" s="4">
        <f>DATE(2026,7,1)</f>
        <v>46204</v>
      </c>
      <c r="B2" t="s">
        <v>6</v>
      </c>
      <c r="C2" s="3">
        <f>SUMIFS(Sales!E:E,Sales!B:B,B2,Sales!A:A,"&gt;="&amp;A2,Sales!A:A,"&lt;="&amp;EOMONTH(A2,0),Sales!F:F,TRUE)</f>
        <v>28650</v>
      </c>
      <c r="D2" s="3">
        <f>MIN(C2,VLOOKUP($B2,Reps!$A$2:$H$30,3,FALSE))</f>
        <v>10000</v>
      </c>
      <c r="E2" s="3">
        <f>MAX(0,MIN(C2,VLOOKUP($B2,Reps!$A$2:$H$30,5,FALSE))-VLOOKUP($B2,Reps!$A$2:$H$30,3,FALSE))</f>
        <v>15000</v>
      </c>
      <c r="F2" s="3">
        <f>MAX(0,C2-VLOOKUP($B2,Reps!$A$2:$H$30,5,FALSE))</f>
        <v>3650</v>
      </c>
      <c r="G2" s="3">
        <f>ROUND(D2*VLOOKUP($B2,Reps!$A$2:$H$30,2,FALSE)+E2*VLOOKUP($B2,Reps!$A$2:$H$30,4,FALSE)+F2*VLOOKUP($B2,Reps!$A$2:$H$30,6,FALSE),2)</f>
        <v>1915</v>
      </c>
      <c r="H2" s="3">
        <f>IF(C2&gt;=VLOOKUP($B2,Reps!$A$2:$H$30,7,FALSE),VLOOKUP($B2,Reps!$A$2:$H$30,8,FALSE),0)</f>
        <v>500</v>
      </c>
      <c r="I2" s="3">
        <f>G2+H2</f>
        <v>2415</v>
      </c>
      <c r="J2" s="5">
        <f>IF(C2=0,0,I2/C2)</f>
        <v>0.08429319371727749</v>
      </c>
      <c r="K2" s="5">
        <f>IF(VLOOKUP($B2,Reps!$A$2:$H$30,7,FALSE)=0,0,C2/VLOOKUP($B2,Reps!$A$2:$H$30,7,FALSE))</f>
        <v>1.4325</v>
      </c>
    </row>
    <row r="3" spans="1:11" x14ac:dyDescent="0.25">
      <c r="A3" s="4">
        <f>DATE(2026,7,1)</f>
        <v>46204</v>
      </c>
      <c r="B3" t="s">
        <v>9</v>
      </c>
      <c r="C3" s="3">
        <f>SUMIFS(Sales!E:E,Sales!B:B,B3,Sales!A:A,"&gt;="&amp;A3,Sales!A:A,"&lt;="&amp;EOMONTH(A3,0),Sales!F:F,TRUE)</f>
        <v>11790</v>
      </c>
      <c r="D3" s="3">
        <f>MIN(C3,VLOOKUP($B3,Reps!$A$2:$H$30,3,FALSE))</f>
        <v>10000</v>
      </c>
      <c r="E3" s="3">
        <f>MAX(0,MIN(C3,VLOOKUP($B3,Reps!$A$2:$H$30,5,FALSE))-VLOOKUP($B3,Reps!$A$2:$H$30,3,FALSE))</f>
        <v>1790</v>
      </c>
      <c r="F3" s="3">
        <f>MAX(0,C3-VLOOKUP($B3,Reps!$A$2:$H$30,5,FALSE))</f>
        <v>0</v>
      </c>
      <c r="G3" s="3">
        <f>ROUND(D3*VLOOKUP($B3,Reps!$A$2:$H$30,2,FALSE)+E3*VLOOKUP($B3,Reps!$A$2:$H$30,4,FALSE)+F3*VLOOKUP($B3,Reps!$A$2:$H$30,6,FALSE),2)</f>
        <v>625.3</v>
      </c>
      <c r="H3" s="3">
        <f>IF(C3&gt;=VLOOKUP($B3,Reps!$A$2:$H$30,7,FALSE),VLOOKUP($B3,Reps!$A$2:$H$30,8,FALSE),0)</f>
        <v>0</v>
      </c>
      <c r="I3" s="3">
        <f>G3+H3</f>
        <v>625.3</v>
      </c>
      <c r="J3" s="5">
        <f>IF(C3=0,0,I3/C3)</f>
        <v>0.0530364715860899</v>
      </c>
      <c r="K3" s="5">
        <f>IF(VLOOKUP($B3,Reps!$A$2:$H$30,7,FALSE)=0,0,C3/VLOOKUP($B3,Reps!$A$2:$H$30,7,FALSE))</f>
        <v>0.5895</v>
      </c>
    </row>
    <row r="4" spans="1:11" x14ac:dyDescent="0.25">
      <c r="A4" s="4">
        <f>DATE(2026,7,1)</f>
        <v>46204</v>
      </c>
      <c r="B4" t="s">
        <v>12</v>
      </c>
      <c r="C4" s="3">
        <f>SUMIFS(Sales!E:E,Sales!B:B,B4,Sales!A:A,"&gt;="&amp;A4,Sales!A:A,"&lt;="&amp;EOMONTH(A4,0),Sales!F:F,TRUE)</f>
        <v>8400</v>
      </c>
      <c r="D4" s="3">
        <f>MIN(C4,VLOOKUP($B4,Reps!$A$2:$H$30,3,FALSE))</f>
        <v>8000</v>
      </c>
      <c r="E4" s="3">
        <f>MAX(0,MIN(C4,VLOOKUP($B4,Reps!$A$2:$H$30,5,FALSE))-VLOOKUP($B4,Reps!$A$2:$H$30,3,FALSE))</f>
        <v>400</v>
      </c>
      <c r="F4" s="3">
        <f>MAX(0,C4-VLOOKUP($B4,Reps!$A$2:$H$30,5,FALSE))</f>
        <v>0</v>
      </c>
      <c r="G4" s="3">
        <f>ROUND(D4*VLOOKUP($B4,Reps!$A$2:$H$30,2,FALSE)+E4*VLOOKUP($B4,Reps!$A$2:$H$30,4,FALSE)+F4*VLOOKUP($B4,Reps!$A$2:$H$30,6,FALSE),2)</f>
        <v>344</v>
      </c>
      <c r="H4" s="3">
        <f>IF(C4&gt;=VLOOKUP($B4,Reps!$A$2:$H$30,7,FALSE),VLOOKUP($B4,Reps!$A$2:$H$30,8,FALSE),0)</f>
        <v>0</v>
      </c>
      <c r="I4" s="3">
        <f>G4+H4</f>
        <v>344</v>
      </c>
      <c r="J4" s="5">
        <f>IF(C4=0,0,I4/C4)</f>
        <v>0.040952380952380955</v>
      </c>
      <c r="K4" s="5">
        <f>IF(VLOOKUP($B4,Reps!$A$2:$H$30,7,FALSE)=0,0,C4/VLOOKUP($B4,Reps!$A$2:$H$30,7,FALSE))</f>
        <v>0.56</v>
      </c>
    </row>
    <row r="5" spans="1:11" x14ac:dyDescent="0.25">
      <c r="A5" s="4">
        <f>DATE(2026,7,1)</f>
        <v>46204</v>
      </c>
      <c r="B5" t="s">
        <v>15</v>
      </c>
      <c r="C5" s="3">
        <f>SUMIFS(Sales!E:E,Sales!B:B,B5,Sales!A:A,"&gt;="&amp;A5,Sales!A:A,"&lt;="&amp;EOMONTH(A5,0),Sales!F:F,TRUE)</f>
        <v>16750</v>
      </c>
      <c r="D5" s="3">
        <f>MIN(C5,VLOOKUP($B5,Reps!$A$2:$H$30,3,FALSE))</f>
        <v>10000</v>
      </c>
      <c r="E5" s="3">
        <f>MAX(0,MIN(C5,VLOOKUP($B5,Reps!$A$2:$H$30,5,FALSE))-VLOOKUP($B5,Reps!$A$2:$H$30,3,FALSE))</f>
        <v>6750</v>
      </c>
      <c r="F5" s="3">
        <f>MAX(0,C5-VLOOKUP($B5,Reps!$A$2:$H$30,5,FALSE))</f>
        <v>0</v>
      </c>
      <c r="G5" s="3">
        <f>ROUND(D5*VLOOKUP($B5,Reps!$A$2:$H$30,2,FALSE)+E5*VLOOKUP($B5,Reps!$A$2:$H$30,4,FALSE)+F5*VLOOKUP($B5,Reps!$A$2:$H$30,6,FALSE),2)</f>
        <v>1005</v>
      </c>
      <c r="H5" s="3">
        <f>IF(C5&gt;=VLOOKUP($B5,Reps!$A$2:$H$30,7,FALSE),VLOOKUP($B5,Reps!$A$2:$H$30,8,FALSE),0)</f>
        <v>0</v>
      </c>
      <c r="I5" s="3">
        <f>G5+H5</f>
        <v>1005</v>
      </c>
      <c r="J5" s="5">
        <f>IF(C5=0,0,I5/C5)</f>
        <v>0.06</v>
      </c>
      <c r="K5" s="5">
        <f>IF(VLOOKUP($B5,Reps!$A$2:$H$30,7,FALSE)=0,0,C5/VLOOKUP($B5,Reps!$A$2:$H$30,7,FALSE))</f>
        <v>0.9305555555555556</v>
      </c>
    </row>
    <row r="6" spans="1:11" x14ac:dyDescent="0.25">
      <c r="A6" s="4">
        <f>DATE(2026,8,1)</f>
        <v>46235</v>
      </c>
      <c r="B6" t="s">
        <v>6</v>
      </c>
      <c r="C6" s="3">
        <f>SUMIFS(Sales!E:E,Sales!B:B,B6,Sales!A:A,"&gt;="&amp;A6,Sales!A:A,"&lt;="&amp;EOMONTH(A6,0),Sales!F:F,TRUE)</f>
        <v>12100</v>
      </c>
      <c r="D6" s="3">
        <f>MIN(C6,VLOOKUP($B6,Reps!$A$2:$H$30,3,FALSE))</f>
        <v>10000</v>
      </c>
      <c r="E6" s="3">
        <f>MAX(0,MIN(C6,VLOOKUP($B6,Reps!$A$2:$H$30,5,FALSE))-VLOOKUP($B6,Reps!$A$2:$H$30,3,FALSE))</f>
        <v>2100</v>
      </c>
      <c r="F6" s="3">
        <f>MAX(0,C6-VLOOKUP($B6,Reps!$A$2:$H$30,5,FALSE))</f>
        <v>0</v>
      </c>
      <c r="G6" s="3">
        <f>ROUND(D6*VLOOKUP($B6,Reps!$A$2:$H$30,2,FALSE)+E6*VLOOKUP($B6,Reps!$A$2:$H$30,4,FALSE)+F6*VLOOKUP($B6,Reps!$A$2:$H$30,6,FALSE),2)</f>
        <v>647</v>
      </c>
      <c r="H6" s="3">
        <f>IF(C6&gt;=VLOOKUP($B6,Reps!$A$2:$H$30,7,FALSE),VLOOKUP($B6,Reps!$A$2:$H$30,8,FALSE),0)</f>
        <v>0</v>
      </c>
      <c r="I6" s="3">
        <f>G6+H6</f>
        <v>647</v>
      </c>
      <c r="J6" s="5">
        <f>IF(C6=0,0,I6/C6)</f>
        <v>0.05347107438016529</v>
      </c>
      <c r="K6" s="5">
        <f>IF(VLOOKUP($B6,Reps!$A$2:$H$30,7,FALSE)=0,0,C6/VLOOKUP($B6,Reps!$A$2:$H$30,7,FALSE))</f>
        <v>0.605</v>
      </c>
    </row>
    <row r="7" spans="1:11" x14ac:dyDescent="0.25">
      <c r="A7" s="4">
        <f>DATE(2026,8,1)</f>
        <v>46235</v>
      </c>
      <c r="B7" t="s">
        <v>9</v>
      </c>
      <c r="C7" s="3">
        <f>SUMIFS(Sales!E:E,Sales!B:B,B7,Sales!A:A,"&gt;="&amp;A7,Sales!A:A,"&lt;="&amp;EOMONTH(A7,0),Sales!F:F,TRUE)</f>
        <v>24760</v>
      </c>
      <c r="D7" s="3">
        <f>MIN(C7,VLOOKUP($B7,Reps!$A$2:$H$30,3,FALSE))</f>
        <v>10000</v>
      </c>
      <c r="E7" s="3">
        <f>MAX(0,MIN(C7,VLOOKUP($B7,Reps!$A$2:$H$30,5,FALSE))-VLOOKUP($B7,Reps!$A$2:$H$30,3,FALSE))</f>
        <v>14760</v>
      </c>
      <c r="F7" s="3">
        <f>MAX(0,C7-VLOOKUP($B7,Reps!$A$2:$H$30,5,FALSE))</f>
        <v>0</v>
      </c>
      <c r="G7" s="3">
        <f>ROUND(D7*VLOOKUP($B7,Reps!$A$2:$H$30,2,FALSE)+E7*VLOOKUP($B7,Reps!$A$2:$H$30,4,FALSE)+F7*VLOOKUP($B7,Reps!$A$2:$H$30,6,FALSE),2)</f>
        <v>1533.2</v>
      </c>
      <c r="H7" s="3">
        <f>IF(C7&gt;=VLOOKUP($B7,Reps!$A$2:$H$30,7,FALSE),VLOOKUP($B7,Reps!$A$2:$H$30,8,FALSE),0)</f>
        <v>500</v>
      </c>
      <c r="I7" s="3">
        <f>G7+H7</f>
        <v>2033.2</v>
      </c>
      <c r="J7" s="5">
        <f>IF(C7=0,0,I7/C7)</f>
        <v>0.08211631663974152</v>
      </c>
      <c r="K7" s="5">
        <f>IF(VLOOKUP($B7,Reps!$A$2:$H$30,7,FALSE)=0,0,C7/VLOOKUP($B7,Reps!$A$2:$H$30,7,FALSE))</f>
        <v>1.238</v>
      </c>
    </row>
    <row r="8" spans="1:11" x14ac:dyDescent="0.25">
      <c r="A8" s="4">
        <f>DATE(2026,8,1)</f>
        <v>46235</v>
      </c>
      <c r="B8" t="s">
        <v>12</v>
      </c>
      <c r="C8" s="3">
        <f>SUMIFS(Sales!E:E,Sales!B:B,B8,Sales!A:A,"&gt;="&amp;A8,Sales!A:A,"&lt;="&amp;EOMONTH(A8,0),Sales!F:F,TRUE)</f>
        <v>16150</v>
      </c>
      <c r="D8" s="3">
        <f>MIN(C8,VLOOKUP($B8,Reps!$A$2:$H$30,3,FALSE))</f>
        <v>8000</v>
      </c>
      <c r="E8" s="3">
        <f>MAX(0,MIN(C8,VLOOKUP($B8,Reps!$A$2:$H$30,5,FALSE))-VLOOKUP($B8,Reps!$A$2:$H$30,3,FALSE))</f>
        <v>8150</v>
      </c>
      <c r="F8" s="3">
        <f>MAX(0,C8-VLOOKUP($B8,Reps!$A$2:$H$30,5,FALSE))</f>
        <v>0</v>
      </c>
      <c r="G8" s="3">
        <f>ROUND(D8*VLOOKUP($B8,Reps!$A$2:$H$30,2,FALSE)+E8*VLOOKUP($B8,Reps!$A$2:$H$30,4,FALSE)+F8*VLOOKUP($B8,Reps!$A$2:$H$30,6,FALSE),2)</f>
        <v>809</v>
      </c>
      <c r="H8" s="3">
        <f>IF(C8&gt;=VLOOKUP($B8,Reps!$A$2:$H$30,7,FALSE),VLOOKUP($B8,Reps!$A$2:$H$30,8,FALSE),0)</f>
        <v>300</v>
      </c>
      <c r="I8" s="3">
        <f>G8+H8</f>
        <v>1109</v>
      </c>
      <c r="J8" s="5">
        <f>IF(C8=0,0,I8/C8)</f>
        <v>0.0686687306501548</v>
      </c>
      <c r="K8" s="5">
        <f>IF(VLOOKUP($B8,Reps!$A$2:$H$30,7,FALSE)=0,0,C8/VLOOKUP($B8,Reps!$A$2:$H$30,7,FALSE))</f>
        <v>1.0766666666666667</v>
      </c>
    </row>
    <row r="9" spans="1:11" x14ac:dyDescent="0.25">
      <c r="A9" s="4">
        <f>DATE(2026,8,1)</f>
        <v>46235</v>
      </c>
      <c r="B9" t="s">
        <v>15</v>
      </c>
      <c r="C9" s="3">
        <f>SUMIFS(Sales!E:E,Sales!B:B,B9,Sales!A:A,"&gt;="&amp;A9,Sales!A:A,"&lt;="&amp;EOMONTH(A9,0),Sales!F:F,TRUE)</f>
        <v>13550</v>
      </c>
      <c r="D9" s="3">
        <f>MIN(C9,VLOOKUP($B9,Reps!$A$2:$H$30,3,FALSE))</f>
        <v>10000</v>
      </c>
      <c r="E9" s="3">
        <f>MAX(0,MIN(C9,VLOOKUP($B9,Reps!$A$2:$H$30,5,FALSE))-VLOOKUP($B9,Reps!$A$2:$H$30,3,FALSE))</f>
        <v>3550</v>
      </c>
      <c r="F9" s="3">
        <f>MAX(0,C9-VLOOKUP($B9,Reps!$A$2:$H$30,5,FALSE))</f>
        <v>0</v>
      </c>
      <c r="G9" s="3">
        <f>ROUND(D9*VLOOKUP($B9,Reps!$A$2:$H$30,2,FALSE)+E9*VLOOKUP($B9,Reps!$A$2:$H$30,4,FALSE)+F9*VLOOKUP($B9,Reps!$A$2:$H$30,6,FALSE),2)</f>
        <v>813</v>
      </c>
      <c r="H9" s="3">
        <f>IF(C9&gt;=VLOOKUP($B9,Reps!$A$2:$H$30,7,FALSE),VLOOKUP($B9,Reps!$A$2:$H$30,8,FALSE),0)</f>
        <v>0</v>
      </c>
      <c r="I9" s="3">
        <f>G9+H9</f>
        <v>813</v>
      </c>
      <c r="J9" s="5">
        <f>IF(C9=0,0,I9/C9)</f>
        <v>0.06</v>
      </c>
      <c r="K9" s="5">
        <f>IF(VLOOKUP($B9,Reps!$A$2:$H$30,7,FALSE)=0,0,C9/VLOOKUP($B9,Reps!$A$2:$H$30,7,FALSE))</f>
        <v>0.7527777777777778</v>
      </c>
    </row>
    <row r="10" spans="1:11" x14ac:dyDescent="0.25">
      <c r="A10" s="4">
        <f>DATE(2026,9,1)</f>
        <v>46266</v>
      </c>
      <c r="B10" t="s">
        <v>6</v>
      </c>
      <c r="C10" s="3">
        <f>SUMIFS(Sales!E:E,Sales!B:B,B10,Sales!A:A,"&gt;="&amp;A10,Sales!A:A,"&lt;="&amp;EOMONTH(A10,0),Sales!F:F,TRUE)</f>
        <v>19400</v>
      </c>
      <c r="D10" s="3">
        <f>MIN(C10,VLOOKUP($B10,Reps!$A$2:$H$30,3,FALSE))</f>
        <v>10000</v>
      </c>
      <c r="E10" s="3">
        <f>MAX(0,MIN(C10,VLOOKUP($B10,Reps!$A$2:$H$30,5,FALSE))-VLOOKUP($B10,Reps!$A$2:$H$30,3,FALSE))</f>
        <v>9400</v>
      </c>
      <c r="F10" s="3">
        <f>MAX(0,C10-VLOOKUP($B10,Reps!$A$2:$H$30,5,FALSE))</f>
        <v>0</v>
      </c>
      <c r="G10" s="3">
        <f>ROUND(D10*VLOOKUP($B10,Reps!$A$2:$H$30,2,FALSE)+E10*VLOOKUP($B10,Reps!$A$2:$H$30,4,FALSE)+F10*VLOOKUP($B10,Reps!$A$2:$H$30,6,FALSE),2)</f>
        <v>1158</v>
      </c>
      <c r="H10" s="3">
        <f>IF(C10&gt;=VLOOKUP($B10,Reps!$A$2:$H$30,7,FALSE),VLOOKUP($B10,Reps!$A$2:$H$30,8,FALSE),0)</f>
        <v>0</v>
      </c>
      <c r="I10" s="3">
        <f>G10+H10</f>
        <v>1158</v>
      </c>
      <c r="J10" s="5">
        <f>IF(C10=0,0,I10/C10)</f>
        <v>0.05969072164948454</v>
      </c>
      <c r="K10" s="5">
        <f>IF(VLOOKUP($B10,Reps!$A$2:$H$30,7,FALSE)=0,0,C10/VLOOKUP($B10,Reps!$A$2:$H$30,7,FALSE))</f>
        <v>0.97</v>
      </c>
    </row>
    <row r="11" spans="1:11" x14ac:dyDescent="0.25">
      <c r="A11" s="4">
        <f>DATE(2026,9,1)</f>
        <v>46266</v>
      </c>
      <c r="B11" t="s">
        <v>9</v>
      </c>
      <c r="C11" s="3">
        <f>SUMIFS(Sales!E:E,Sales!B:B,B11,Sales!A:A,"&gt;="&amp;A11,Sales!A:A,"&lt;="&amp;EOMONTH(A11,0),Sales!F:F,TRUE)</f>
        <v>13350</v>
      </c>
      <c r="D11" s="3">
        <f>MIN(C11,VLOOKUP($B11,Reps!$A$2:$H$30,3,FALSE))</f>
        <v>10000</v>
      </c>
      <c r="E11" s="3">
        <f>MAX(0,MIN(C11,VLOOKUP($B11,Reps!$A$2:$H$30,5,FALSE))-VLOOKUP($B11,Reps!$A$2:$H$30,3,FALSE))</f>
        <v>3350</v>
      </c>
      <c r="F11" s="3">
        <f>MAX(0,C11-VLOOKUP($B11,Reps!$A$2:$H$30,5,FALSE))</f>
        <v>0</v>
      </c>
      <c r="G11" s="3">
        <f>ROUND(D11*VLOOKUP($B11,Reps!$A$2:$H$30,2,FALSE)+E11*VLOOKUP($B11,Reps!$A$2:$H$30,4,FALSE)+F11*VLOOKUP($B11,Reps!$A$2:$H$30,6,FALSE),2)</f>
        <v>734.5</v>
      </c>
      <c r="H11" s="3">
        <f>IF(C11&gt;=VLOOKUP($B11,Reps!$A$2:$H$30,7,FALSE),VLOOKUP($B11,Reps!$A$2:$H$30,8,FALSE),0)</f>
        <v>0</v>
      </c>
      <c r="I11" s="3">
        <f>G11+H11</f>
        <v>734.5</v>
      </c>
      <c r="J11" s="5">
        <f>IF(C11=0,0,I11/C11)</f>
        <v>0.0550187265917603</v>
      </c>
      <c r="K11" s="5">
        <f>IF(VLOOKUP($B11,Reps!$A$2:$H$30,7,FALSE)=0,0,C11/VLOOKUP($B11,Reps!$A$2:$H$30,7,FALSE))</f>
        <v>0.6675</v>
      </c>
    </row>
    <row r="12" spans="1:11" x14ac:dyDescent="0.25">
      <c r="A12" s="4">
        <f>DATE(2026,9,1)</f>
        <v>46266</v>
      </c>
      <c r="B12" t="s">
        <v>12</v>
      </c>
      <c r="C12" s="3">
        <f>SUMIFS(Sales!E:E,Sales!B:B,B12,Sales!A:A,"&gt;="&amp;A12,Sales!A:A,"&lt;="&amp;EOMONTH(A12,0),Sales!F:F,TRUE)</f>
        <v>15950</v>
      </c>
      <c r="D12" s="3">
        <f>MIN(C12,VLOOKUP($B12,Reps!$A$2:$H$30,3,FALSE))</f>
        <v>8000</v>
      </c>
      <c r="E12" s="3">
        <f>MAX(0,MIN(C12,VLOOKUP($B12,Reps!$A$2:$H$30,5,FALSE))-VLOOKUP($B12,Reps!$A$2:$H$30,3,FALSE))</f>
        <v>7950</v>
      </c>
      <c r="F12" s="3">
        <f>MAX(0,C12-VLOOKUP($B12,Reps!$A$2:$H$30,5,FALSE))</f>
        <v>0</v>
      </c>
      <c r="G12" s="3">
        <f>ROUND(D12*VLOOKUP($B12,Reps!$A$2:$H$30,2,FALSE)+E12*VLOOKUP($B12,Reps!$A$2:$H$30,4,FALSE)+F12*VLOOKUP($B12,Reps!$A$2:$H$30,6,FALSE),2)</f>
        <v>797</v>
      </c>
      <c r="H12" s="3">
        <f>IF(C12&gt;=VLOOKUP($B12,Reps!$A$2:$H$30,7,FALSE),VLOOKUP($B12,Reps!$A$2:$H$30,8,FALSE),0)</f>
        <v>300</v>
      </c>
      <c r="I12" s="3">
        <f>G12+H12</f>
        <v>1097</v>
      </c>
      <c r="J12" s="5">
        <f>IF(C12=0,0,I12/C12)</f>
        <v>0.06877742946708464</v>
      </c>
      <c r="K12" s="5">
        <f>IF(VLOOKUP($B12,Reps!$A$2:$H$30,7,FALSE)=0,0,C12/VLOOKUP($B12,Reps!$A$2:$H$30,7,FALSE))</f>
        <v>1.0633333333333332</v>
      </c>
    </row>
    <row r="13" spans="1:11" x14ac:dyDescent="0.25">
      <c r="A13" s="4">
        <f>DATE(2026,9,1)</f>
        <v>46266</v>
      </c>
      <c r="B13" t="s">
        <v>15</v>
      </c>
      <c r="C13" s="3">
        <f>SUMIFS(Sales!E:E,Sales!B:B,B13,Sales!A:A,"&gt;="&amp;A13,Sales!A:A,"&lt;="&amp;EOMONTH(A13,0),Sales!F:F,TRUE)</f>
        <v>7300</v>
      </c>
      <c r="D13" s="3">
        <f>MIN(C13,VLOOKUP($B13,Reps!$A$2:$H$30,3,FALSE))</f>
        <v>7300</v>
      </c>
      <c r="E13" s="3">
        <f>MAX(0,MIN(C13,VLOOKUP($B13,Reps!$A$2:$H$30,5,FALSE))-VLOOKUP($B13,Reps!$A$2:$H$30,3,FALSE))</f>
        <v>0</v>
      </c>
      <c r="F13" s="3">
        <f>MAX(0,C13-VLOOKUP($B13,Reps!$A$2:$H$30,5,FALSE))</f>
        <v>0</v>
      </c>
      <c r="G13" s="3">
        <f>ROUND(D13*VLOOKUP($B13,Reps!$A$2:$H$30,2,FALSE)+E13*VLOOKUP($B13,Reps!$A$2:$H$30,4,FALSE)+F13*VLOOKUP($B13,Reps!$A$2:$H$30,6,FALSE),2)</f>
        <v>438</v>
      </c>
      <c r="H13" s="3">
        <f>IF(C13&gt;=VLOOKUP($B13,Reps!$A$2:$H$30,7,FALSE),VLOOKUP($B13,Reps!$A$2:$H$30,8,FALSE),0)</f>
        <v>0</v>
      </c>
      <c r="I13" s="3">
        <f>G13+H13</f>
        <v>438</v>
      </c>
      <c r="J13" s="5">
        <f>IF(C13=0,0,I13/C13)</f>
        <v>0.06</v>
      </c>
      <c r="K13" s="5">
        <f>IF(VLOOKUP($B13,Reps!$A$2:$H$30,7,FALSE)=0,0,C13/VLOOKUP($B13,Reps!$A$2:$H$30,7,FALSE))</f>
        <v>0.40555555555555556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5" customWidth="1"/>
    <col min="4" max="4" width="11" customWidth="1"/>
    <col min="5" max="5" width="15" customWidth="1"/>
    <col min="6" max="6" width="11" customWidth="1"/>
    <col min="7" max="8" width="14" customWidth="1"/>
  </cols>
  <sheetData>
    <row r="1" spans="1:8" s="1" customFormat="1" x14ac:dyDescent="0.25">
      <c r="A1" s="1" t="s">
        <v>1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</row>
    <row r="2" spans="1:8" x14ac:dyDescent="0.25">
      <c r="A2" t="s">
        <v>6</v>
      </c>
      <c r="B2" s="5">
        <v>0.05</v>
      </c>
      <c r="C2" s="3">
        <v>10000</v>
      </c>
      <c r="D2" s="5">
        <v>0.07</v>
      </c>
      <c r="E2" s="3">
        <v>25000</v>
      </c>
      <c r="F2" s="5">
        <v>0.1</v>
      </c>
      <c r="G2" s="3">
        <v>20000</v>
      </c>
      <c r="H2" s="3">
        <v>500</v>
      </c>
    </row>
    <row r="3" spans="1:8" x14ac:dyDescent="0.25">
      <c r="A3" t="s">
        <v>9</v>
      </c>
      <c r="B3" s="5">
        <v>0.05</v>
      </c>
      <c r="C3" s="3">
        <v>10000</v>
      </c>
      <c r="D3" s="5">
        <v>0.07</v>
      </c>
      <c r="E3" s="3">
        <v>25000</v>
      </c>
      <c r="F3" s="5">
        <v>0.1</v>
      </c>
      <c r="G3" s="3">
        <v>20000</v>
      </c>
      <c r="H3" s="3">
        <v>500</v>
      </c>
    </row>
    <row r="4" spans="1:8" x14ac:dyDescent="0.25">
      <c r="A4" t="s">
        <v>12</v>
      </c>
      <c r="B4" s="5">
        <v>0.04</v>
      </c>
      <c r="C4" s="3">
        <v>8000</v>
      </c>
      <c r="D4" s="5">
        <v>0.06</v>
      </c>
      <c r="E4" s="3">
        <v>20000</v>
      </c>
      <c r="F4" s="5">
        <v>0.08</v>
      </c>
      <c r="G4" s="3">
        <v>15000</v>
      </c>
      <c r="H4" s="3">
        <v>300</v>
      </c>
    </row>
    <row r="5" spans="1:8" x14ac:dyDescent="0.25">
      <c r="A5" t="s">
        <v>15</v>
      </c>
      <c r="B5" s="5">
        <v>0.06</v>
      </c>
      <c r="C5" s="3">
        <v>10000</v>
      </c>
      <c r="D5" s="5">
        <v>0.06</v>
      </c>
      <c r="E5" s="3">
        <v>25000</v>
      </c>
      <c r="F5" s="5">
        <v>0.06</v>
      </c>
      <c r="G5" s="3">
        <v>18000</v>
      </c>
      <c r="H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0" customWidth="1"/>
    <col min="5" max="6" width="13" customWidth="1"/>
    <col min="7" max="7" width="15" customWidth="1"/>
    <col min="8" max="8" width="18" customWidth="1"/>
  </cols>
  <sheetData>
    <row r="1" spans="1:8" s="1" customFormat="1" x14ac:dyDescent="0.25">
      <c r="A1" s="1" t="s">
        <v>1</v>
      </c>
      <c r="B1" s="1" t="s">
        <v>51</v>
      </c>
      <c r="C1" s="1" t="s">
        <v>55</v>
      </c>
      <c r="D1" s="1" t="s">
        <v>67</v>
      </c>
      <c r="E1" s="1" t="s">
        <v>57</v>
      </c>
      <c r="F1" s="1" t="s">
        <v>58</v>
      </c>
      <c r="G1" s="1" t="s">
        <v>68</v>
      </c>
      <c r="H1" s="1" t="s">
        <v>69</v>
      </c>
    </row>
    <row r="2" spans="1:8" x14ac:dyDescent="0.25">
      <c r="A2" t="s">
        <v>6</v>
      </c>
      <c r="B2" s="3">
        <f>SUMIF(Commission!B:B,A2,Commission!C:C)</f>
        <v>60150</v>
      </c>
      <c r="C2" s="3">
        <f>SUMIF(Commission!B:B,A2,Commission!G:G)</f>
        <v>3720</v>
      </c>
      <c r="D2" s="3">
        <f>SUMIF(Commission!B:B,A2,Commission!H:H)</f>
        <v>500</v>
      </c>
      <c r="E2" s="3">
        <f>C2+D2</f>
        <v>4220</v>
      </c>
      <c r="F2" s="5">
        <f>IF(B2=0,0,E2/B2)</f>
        <v>0.07015793848711555</v>
      </c>
      <c r="G2" s="6">
        <f>COUNTIFS(Commission!B:B,A2,Commission!K:K,"&gt;=1")</f>
        <v>1</v>
      </c>
      <c r="H2" s="3">
        <f>SUMIFS(Sales!E:E,Sales!B:B,A2,Sales!F:F,FALSE)</f>
        <v>4300</v>
      </c>
    </row>
    <row r="3" spans="1:8" x14ac:dyDescent="0.25">
      <c r="A3" t="s">
        <v>9</v>
      </c>
      <c r="B3" s="3">
        <f>SUMIF(Commission!B:B,A3,Commission!C:C)</f>
        <v>49900</v>
      </c>
      <c r="C3" s="3">
        <f>SUMIF(Commission!B:B,A3,Commission!G:G)</f>
        <v>2893</v>
      </c>
      <c r="D3" s="3">
        <f>SUMIF(Commission!B:B,A3,Commission!H:H)</f>
        <v>500</v>
      </c>
      <c r="E3" s="3">
        <f>C3+D3</f>
        <v>3393</v>
      </c>
      <c r="F3" s="5">
        <f>IF(B3=0,0,E3/B3)</f>
        <v>0.06799599198396794</v>
      </c>
      <c r="G3" s="6">
        <f>COUNTIFS(Commission!B:B,A3,Commission!K:K,"&gt;=1")</f>
        <v>1</v>
      </c>
      <c r="H3" s="3">
        <f>SUMIFS(Sales!E:E,Sales!B:B,A3,Sales!F:F,FALSE)</f>
        <v>5250</v>
      </c>
    </row>
    <row r="4" spans="1:8" x14ac:dyDescent="0.25">
      <c r="A4" t="s">
        <v>12</v>
      </c>
      <c r="B4" s="3">
        <f>SUMIF(Commission!B:B,A4,Commission!C:C)</f>
        <v>40500</v>
      </c>
      <c r="C4" s="3">
        <f>SUMIF(Commission!B:B,A4,Commission!G:G)</f>
        <v>1950</v>
      </c>
      <c r="D4" s="3">
        <f>SUMIF(Commission!B:B,A4,Commission!H:H)</f>
        <v>600</v>
      </c>
      <c r="E4" s="3">
        <f>C4+D4</f>
        <v>2550</v>
      </c>
      <c r="F4" s="5">
        <f>IF(B4=0,0,E4/B4)</f>
        <v>0.06296296296296296</v>
      </c>
      <c r="G4" s="6">
        <f>COUNTIFS(Commission!B:B,A4,Commission!K:K,"&gt;=1")</f>
        <v>2</v>
      </c>
      <c r="H4" s="3">
        <f>SUMIFS(Sales!E:E,Sales!B:B,A4,Sales!F:F,FALSE)</f>
        <v>0</v>
      </c>
    </row>
    <row r="5" spans="1:8" x14ac:dyDescent="0.25">
      <c r="A5" t="s">
        <v>15</v>
      </c>
      <c r="B5" s="3">
        <f>SUMIF(Commission!B:B,A5,Commission!C:C)</f>
        <v>37600</v>
      </c>
      <c r="C5" s="3">
        <f>SUMIF(Commission!B:B,A5,Commission!G:G)</f>
        <v>2256</v>
      </c>
      <c r="D5" s="3">
        <f>SUMIF(Commission!B:B,A5,Commission!H:H)</f>
        <v>0</v>
      </c>
      <c r="E5" s="3">
        <f>C5+D5</f>
        <v>2256</v>
      </c>
      <c r="F5" s="5">
        <f>IF(B5=0,0,E5/B5)</f>
        <v>0.06</v>
      </c>
      <c r="G5" s="6">
        <f>COUNTIFS(Commission!B:B,A5,Commission!K:K,"&gt;=1")</f>
        <v>0</v>
      </c>
      <c r="H5" s="3">
        <f>SUMIFS(Sales!E:E,Sales!B:B,A5,Sales!F:F,FALSE)</f>
        <v>2100</v>
      </c>
    </row>
    <row r="6" spans="1:8" x14ac:dyDescent="0.25">
      <c r="A6" t="s">
        <v>70</v>
      </c>
      <c r="B6" s="3">
        <f>SUM(B2:B5)</f>
        <v>188150</v>
      </c>
      <c r="C6" s="3">
        <f>SUM(C2:C5)</f>
        <v>10819</v>
      </c>
      <c r="D6" s="3">
        <f>SUM(D2:D5)</f>
        <v>1600</v>
      </c>
      <c r="E6" s="3">
        <f>SUM(E2:E5)</f>
        <v>12419</v>
      </c>
      <c r="F6" s="5">
        <f>IF(B6=0,0,E6/B6)</f>
        <v>0.06600584639914961</v>
      </c>
      <c r="G6" s="6">
        <f>SUM(G2:G5)</f>
        <v>4</v>
      </c>
      <c r="H6" s="3">
        <f>SUM(H2:H5)</f>
        <v>11650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</vt:lpstr>
      <vt:lpstr>Commission</vt:lpstr>
      <vt:lpstr>Reps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Commission Tracker</dc:title>
  <dc:subject/>
  <dc:description/>
  <cp:keywords/>
  <cp:category/>
  <cp:lastModifiedBy>Unknown</cp:lastModifiedBy>
  <dcterms:created xsi:type="dcterms:W3CDTF">2026-10-18T23:17:08Z</dcterms:created>
  <dcterms:modified xsi:type="dcterms:W3CDTF">2026-10-18T23:17:08Z</dcterms:modified>
</cp:coreProperties>
</file>