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  <sheet sheetId="2" name="Pipeline" state="visible" r:id="rId5"/>
    <sheet sheetId="3" name="Stages" state="visible" r:id="rId6"/>
    <sheet sheetId="4" name="Activity" state="visible" r:id="rId7"/>
  </sheets>
  <calcPr calcId="171027"/>
</workbook>
</file>

<file path=xl/sharedStrings.xml><?xml version="1.0" encoding="utf-8"?>
<sst xmlns="http://schemas.openxmlformats.org/spreadsheetml/2006/main" count="184" uniqueCount="125">
  <si>
    <t>Contact</t>
  </si>
  <si>
    <t>Company</t>
  </si>
  <si>
    <t>Email</t>
  </si>
  <si>
    <t>Phone</t>
  </si>
  <si>
    <t>Source</t>
  </si>
  <si>
    <t>Stage</t>
  </si>
  <si>
    <t>Deal value</t>
  </si>
  <si>
    <t>Win chance</t>
  </si>
  <si>
    <t>Weighted value</t>
  </si>
  <si>
    <t>Last contact</t>
  </si>
  <si>
    <t>Days since</t>
  </si>
  <si>
    <t>Touches</t>
  </si>
  <si>
    <t>Next step</t>
  </si>
  <si>
    <t>Next step date</t>
  </si>
  <si>
    <t>Follow-up</t>
  </si>
  <si>
    <t>Rachel Kim</t>
  </si>
  <si>
    <t>Summit Dental Partners</t>
  </si>
  <si>
    <t>rachel@summitdental.com</t>
  </si>
  <si>
    <t>(614) 555-0142</t>
  </si>
  <si>
    <t>Referral</t>
  </si>
  <si>
    <t>Negotiating</t>
  </si>
  <si>
    <t>Send revised contract with Saturday cleaning</t>
  </si>
  <si>
    <t>Tom Becker</t>
  </si>
  <si>
    <t>Becker and Lowe CPAs</t>
  </si>
  <si>
    <t>tbecker@beckerlowe.com</t>
  </si>
  <si>
    <t>(614) 555-0187</t>
  </si>
  <si>
    <t>Website</t>
  </si>
  <si>
    <t>Proposal sent</t>
  </si>
  <si>
    <t>Follow up on proposal</t>
  </si>
  <si>
    <t>Angela Ruiz</t>
  </si>
  <si>
    <t>Northpoint Business Park</t>
  </si>
  <si>
    <t>aruiz@northpointbp.com</t>
  </si>
  <si>
    <t>(614) 555-0119</t>
  </si>
  <si>
    <t>Cold call</t>
  </si>
  <si>
    <t>Contacted</t>
  </si>
  <si>
    <t>Walk-through of buildings B and C</t>
  </si>
  <si>
    <t>Derek Shaw</t>
  </si>
  <si>
    <t>Shaw Auto Group</t>
  </si>
  <si>
    <t>dshaw@shawauto.com</t>
  </si>
  <si>
    <t>(614) 555-0163</t>
  </si>
  <si>
    <t>Trade show</t>
  </si>
  <si>
    <t>Call to answer questions on the quote</t>
  </si>
  <si>
    <t>Priya Nair</t>
  </si>
  <si>
    <t>Bright Futures Daycare</t>
  </si>
  <si>
    <t>priya@brightfutures.org</t>
  </si>
  <si>
    <t>(614) 555-0175</t>
  </si>
  <si>
    <t>Won</t>
  </si>
  <si>
    <t>Kickoff walk-through</t>
  </si>
  <si>
    <t>Mark Ellison</t>
  </si>
  <si>
    <t>Ellison Law Office</t>
  </si>
  <si>
    <t>mark@ellisonlaw.com</t>
  </si>
  <si>
    <t>(614) 555-0108</t>
  </si>
  <si>
    <t>Lead</t>
  </si>
  <si>
    <t>Intro call</t>
  </si>
  <si>
    <t>Jen Morales</t>
  </si>
  <si>
    <t>Riverside Fitness</t>
  </si>
  <si>
    <t>jen@riversidefit.com</t>
  </si>
  <si>
    <t>(614) 555-0151</t>
  </si>
  <si>
    <t>Google search</t>
  </si>
  <si>
    <t>Send price for nightly cleaning</t>
  </si>
  <si>
    <t>Sam Okoye</t>
  </si>
  <si>
    <t>Okoye Pediatrics</t>
  </si>
  <si>
    <t>sokoye@okoyepeds.com</t>
  </si>
  <si>
    <t>(614) 555-0136</t>
  </si>
  <si>
    <t>Confirm start date</t>
  </si>
  <si>
    <t>Linda Fox</t>
  </si>
  <si>
    <t>Fox Real Estate</t>
  </si>
  <si>
    <t>linda@foxrealty.com</t>
  </si>
  <si>
    <t>(614) 555-0194</t>
  </si>
  <si>
    <t>Lost</t>
  </si>
  <si>
    <t>Went with cheaper bid. Check back in spring.</t>
  </si>
  <si>
    <t>Chris Patel</t>
  </si>
  <si>
    <t>Patel Family Dentistry</t>
  </si>
  <si>
    <t>chris@pateldds.com</t>
  </si>
  <si>
    <t>(614) 555-0128</t>
  </si>
  <si>
    <t>Email intro and price sheet</t>
  </si>
  <si>
    <t>Hannah Wright</t>
  </si>
  <si>
    <t>Wright Insurance Agency</t>
  </si>
  <si>
    <t>hwright@wrightins.com</t>
  </si>
  <si>
    <t>(614) 555-0170</t>
  </si>
  <si>
    <t>Check proposal was received</t>
  </si>
  <si>
    <t>Omar Haddad</t>
  </si>
  <si>
    <t>Lakeview Medical Plaza</t>
  </si>
  <si>
    <t>ohaddad@lakeviewmed.com</t>
  </si>
  <si>
    <t>(614) 555-0112</t>
  </si>
  <si>
    <t>Monthly check-in</t>
  </si>
  <si>
    <t>Beth Carson</t>
  </si>
  <si>
    <t>Carson Architecture</t>
  </si>
  <si>
    <t>beth@carsonarch.com</t>
  </si>
  <si>
    <t>(614) 555-0181</t>
  </si>
  <si>
    <t>Deals</t>
  </si>
  <si>
    <t>Value</t>
  </si>
  <si>
    <t>Today's date</t>
  </si>
  <si>
    <t>Open pipeline</t>
  </si>
  <si>
    <t>Win rate (won out of closed)</t>
  </si>
  <si>
    <t>Follow-ups overdue</t>
  </si>
  <si>
    <t>Follow-ups due this week</t>
  </si>
  <si>
    <t>Open deals with no next step</t>
  </si>
  <si>
    <t>Open deals not contacted in 30+ days</t>
  </si>
  <si>
    <t>What it means</t>
  </si>
  <si>
    <t>A name and a reason to reach out, no conversation yet</t>
  </si>
  <si>
    <t>You've talked and they're open to hearing more</t>
  </si>
  <si>
    <t>They have a price in writing</t>
  </si>
  <si>
    <t>Working out terms, start date or price</t>
  </si>
  <si>
    <t>Signed or paid</t>
  </si>
  <si>
    <t>They said no, went elsewhere or went quiet for good</t>
  </si>
  <si>
    <t>Date</t>
  </si>
  <si>
    <t>Type</t>
  </si>
  <si>
    <t>What happened</t>
  </si>
  <si>
    <t>Meeting</t>
  </si>
  <si>
    <t>Met at the Columbus small business expo. Interested after their lease renews.</t>
  </si>
  <si>
    <t>Call</t>
  </si>
  <si>
    <t>Wants nightly cleaning of locker rooms and floors. Asked for a price.</t>
  </si>
  <si>
    <t>Walk-through of all three floors. Needs medical-grade disinfection.</t>
  </si>
  <si>
    <t>Chose another company on price.</t>
  </si>
  <si>
    <t>Signed 12-month contract. Start October 1.</t>
  </si>
  <si>
    <t>Sent quote for showroom and service area, 5 nights a week.</t>
  </si>
  <si>
    <t>Approved the proposal. Start date October 20.</t>
  </si>
  <si>
    <t>Office of 12. Open to a quote early next year.</t>
  </si>
  <si>
    <t>Sent proposal for twice-weekly cleaning.</t>
  </si>
  <si>
    <t>Agreed on price. Waiting on their start date.</t>
  </si>
  <si>
    <t>Manages 3 buildings. Wants a walk-through first.</t>
  </si>
  <si>
    <t>Sent proposal.</t>
  </si>
  <si>
    <t>Wants Saturday cleaning added. Revising contract.</t>
  </si>
  <si>
    <t>Filled in the website form. Booked an intro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</si>
</sst>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.00"/>
    <numFmt numFmtId="165" formatCode="0.0%"/>
    <numFmt numFmtId="166" formatCode="mmm d, yyyy"/>
    <numFmt numFmtId="167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O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4" customWidth="1"/>
    <col min="3" max="3" width="25" customWidth="1"/>
    <col min="4" max="4" width="15" customWidth="1"/>
    <col min="5" max="6" width="13" customWidth="1"/>
    <col min="7" max="7" width="12" customWidth="1"/>
    <col min="8" max="8" width="11" customWidth="1"/>
    <col min="9" max="9" width="14" customWidth="1"/>
    <col min="10" max="10" width="13" customWidth="1"/>
    <col min="11" max="11" width="10" customWidth="1"/>
    <col min="13" max="13" width="36" customWidth="1"/>
    <col min="14" max="14" width="14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14400</v>
      </c>
      <c r="H2" s="3">
        <f>IFERROR(VLOOKUP(F2,Stages!$A$2:$B$20,2,FALSE),0)</f>
        <v>0.75</v>
      </c>
      <c r="I2" s="2">
        <f>ROUND(G2*H2,2)</f>
        <v>10800</v>
      </c>
      <c r="J2" s="4">
        <v>46310</v>
      </c>
      <c r="K2" s="5">
        <f>IF(ISBLANK(J2),"",Pipeline!$B$2-J2)</f>
        <v>3</v>
      </c>
      <c r="L2" s="5">
        <f>COUNTIF(Activity!B:B,A2)</f>
        <v>1</v>
      </c>
      <c r="M2" t="s">
        <v>21</v>
      </c>
      <c r="N2" s="4">
        <v>46315</v>
      </c>
      <c r="O2" t="str">
        <f>IF(OR(F2="Won",F2="Lost"),"",IF(ISBLANK(N2),"Set next step",IF(N2&lt;Pipeline!$B$2,"Overdue",IF(N2-Pipeline!$B$2&lt;=7,"This week","Later"))))</f>
        <v>This week</v>
      </c>
    </row>
    <row r="3" spans="1:15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s="2">
        <v>9600</v>
      </c>
      <c r="H3" s="3">
        <f>IFERROR(VLOOKUP(F3,Stages!$A$2:$B$20,2,FALSE),0)</f>
        <v>0.5</v>
      </c>
      <c r="I3" s="2">
        <f>ROUND(G3*H3,2)</f>
        <v>4800</v>
      </c>
      <c r="J3" s="4">
        <v>46303</v>
      </c>
      <c r="K3" s="5">
        <f>IF(ISBLANK(J3),"",Pipeline!$B$2-J3)</f>
        <v>10</v>
      </c>
      <c r="L3" s="5">
        <f>COUNTIF(Activity!B:B,A3)</f>
        <v>1</v>
      </c>
      <c r="M3" t="s">
        <v>28</v>
      </c>
      <c r="N3" s="4">
        <v>46310</v>
      </c>
      <c r="O3" t="str">
        <f>IF(OR(F3="Won",F3="Lost"),"",IF(ISBLANK(N3),"Set next step",IF(N3&lt;Pipeline!$B$2,"Overdue",IF(N3-Pipeline!$B$2&lt;=7,"This week","Later"))))</f>
        <v>Overdue</v>
      </c>
    </row>
    <row r="4" spans="1:15" x14ac:dyDescent="0.25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s="2">
        <v>42000</v>
      </c>
      <c r="H4" s="3">
        <f>IFERROR(VLOOKUP(F4,Stages!$A$2:$B$20,2,FALSE),0)</f>
        <v>0.2</v>
      </c>
      <c r="I4" s="2">
        <f>ROUND(G4*H4,2)</f>
        <v>8400</v>
      </c>
      <c r="J4" s="4">
        <v>46307</v>
      </c>
      <c r="K4" s="5">
        <f>IF(ISBLANK(J4),"",Pipeline!$B$2-J4)</f>
        <v>6</v>
      </c>
      <c r="L4" s="5">
        <f>COUNTIF(Activity!B:B,A4)</f>
        <v>1</v>
      </c>
      <c r="M4" t="s">
        <v>35</v>
      </c>
      <c r="N4" s="4">
        <v>46317</v>
      </c>
      <c r="O4" t="str">
        <f>IF(OR(F4="Won",F4="Lost"),"",IF(ISBLANK(N4),"Set next step",IF(N4&lt;Pipeline!$B$2,"Overdue",IF(N4-Pipeline!$B$2&lt;=7,"This week","Later"))))</f>
        <v>This week</v>
      </c>
    </row>
    <row r="5" spans="1:15" x14ac:dyDescent="0.2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27</v>
      </c>
      <c r="G5" s="2">
        <v>21600</v>
      </c>
      <c r="H5" s="3">
        <f>IFERROR(VLOOKUP(F5,Stages!$A$2:$B$20,2,FALSE),0)</f>
        <v>0.5</v>
      </c>
      <c r="I5" s="2">
        <f>ROUND(G5*H5,2)</f>
        <v>10800</v>
      </c>
      <c r="J5" s="4">
        <v>46295</v>
      </c>
      <c r="K5" s="5">
        <f>IF(ISBLANK(J5),"",Pipeline!$B$2-J5)</f>
        <v>18</v>
      </c>
      <c r="L5" s="5">
        <f>COUNTIF(Activity!B:B,A5)</f>
        <v>1</v>
      </c>
      <c r="M5" t="s">
        <v>41</v>
      </c>
      <c r="N5" s="4">
        <v>46309</v>
      </c>
      <c r="O5" t="str">
        <f>IF(OR(F5="Won",F5="Lost"),"",IF(ISBLANK(N5),"Set next step",IF(N5&lt;Pipeline!$B$2,"Overdue",IF(N5-Pipeline!$B$2&lt;=7,"This week","Later"))))</f>
        <v>Overdue</v>
      </c>
    </row>
    <row r="6" spans="1:15" x14ac:dyDescent="0.25">
      <c r="A6" t="s">
        <v>42</v>
      </c>
      <c r="B6" t="s">
        <v>43</v>
      </c>
      <c r="C6" t="s">
        <v>44</v>
      </c>
      <c r="D6" t="s">
        <v>45</v>
      </c>
      <c r="E6" t="s">
        <v>19</v>
      </c>
      <c r="F6" t="s">
        <v>46</v>
      </c>
      <c r="G6" s="2">
        <v>7800</v>
      </c>
      <c r="H6" s="3">
        <f>IFERROR(VLOOKUP(F6,Stages!$A$2:$B$20,2,FALSE),0)</f>
        <v>1</v>
      </c>
      <c r="I6" s="2">
        <f>ROUND(G6*H6,2)</f>
        <v>7800</v>
      </c>
      <c r="J6" s="4">
        <v>46297</v>
      </c>
      <c r="K6" s="5">
        <f>IF(ISBLANK(J6),"",Pipeline!$B$2-J6)</f>
        <v>16</v>
      </c>
      <c r="L6" s="5">
        <f>COUNTIF(Activity!B:B,A6)</f>
        <v>1</v>
      </c>
      <c r="M6" t="s">
        <v>47</v>
      </c>
      <c r="N6" s="4">
        <v>46314</v>
      </c>
      <c r="O6" t="str">
        <f>IF(OR(F6="Won",F6="Lost"),"",IF(ISBLANK(N6),"Set next step",IF(N6&lt;Pipeline!$B$2,"Overdue",IF(N6-Pipeline!$B$2&lt;=7,"This week","Later"))))</f>
        <v/>
      </c>
    </row>
    <row r="7" spans="1:15" x14ac:dyDescent="0.25">
      <c r="A7" t="s">
        <v>48</v>
      </c>
      <c r="B7" t="s">
        <v>49</v>
      </c>
      <c r="C7" t="s">
        <v>50</v>
      </c>
      <c r="D7" t="s">
        <v>51</v>
      </c>
      <c r="E7" t="s">
        <v>26</v>
      </c>
      <c r="F7" t="s">
        <v>52</v>
      </c>
      <c r="G7" s="2">
        <v>4800</v>
      </c>
      <c r="H7" s="3">
        <f>IFERROR(VLOOKUP(F7,Stages!$A$2:$B$20,2,FALSE),0)</f>
        <v>0.1</v>
      </c>
      <c r="I7" s="2">
        <f>ROUND(G7*H7,2)</f>
        <v>480</v>
      </c>
      <c r="J7" s="4">
        <v>46311</v>
      </c>
      <c r="K7" s="5">
        <f>IF(ISBLANK(J7),"",Pipeline!$B$2-J7)</f>
        <v>2</v>
      </c>
      <c r="L7" s="5">
        <f>COUNTIF(Activity!B:B,A7)</f>
        <v>1</v>
      </c>
      <c r="M7" t="s">
        <v>53</v>
      </c>
      <c r="N7" s="4">
        <v>46316</v>
      </c>
      <c r="O7" t="str">
        <f>IF(OR(F7="Won",F7="Lost"),"",IF(ISBLANK(N7),"Set next step",IF(N7&lt;Pipeline!$B$2,"Overdue",IF(N7-Pipeline!$B$2&lt;=7,"This week","Later"))))</f>
        <v>This week</v>
      </c>
    </row>
    <row r="8" spans="1:15" x14ac:dyDescent="0.25">
      <c r="A8" t="s">
        <v>54</v>
      </c>
      <c r="B8" t="s">
        <v>55</v>
      </c>
      <c r="C8" t="s">
        <v>56</v>
      </c>
      <c r="D8" t="s">
        <v>57</v>
      </c>
      <c r="E8" t="s">
        <v>58</v>
      </c>
      <c r="F8" t="s">
        <v>34</v>
      </c>
      <c r="G8" s="2">
        <v>12000</v>
      </c>
      <c r="H8" s="3">
        <f>IFERROR(VLOOKUP(F8,Stages!$A$2:$B$20,2,FALSE),0)</f>
        <v>0.2</v>
      </c>
      <c r="I8" s="2">
        <f>ROUND(G8*H8,2)</f>
        <v>2400</v>
      </c>
      <c r="J8" s="4">
        <v>46279</v>
      </c>
      <c r="K8" s="5">
        <f>IF(ISBLANK(J8),"",Pipeline!$B$2-J8)</f>
        <v>34</v>
      </c>
      <c r="L8" s="5">
        <f>COUNTIF(Activity!B:B,A8)</f>
        <v>1</v>
      </c>
      <c r="M8" t="s">
        <v>59</v>
      </c>
      <c r="N8" s="4">
        <v>46290</v>
      </c>
      <c r="O8" t="str">
        <f>IF(OR(F8="Won",F8="Lost"),"",IF(ISBLANK(N8),"Set next step",IF(N8&lt;Pipeline!$B$2,"Overdue",IF(N8-Pipeline!$B$2&lt;=7,"This week","Later"))))</f>
        <v>Overdue</v>
      </c>
    </row>
    <row r="9" spans="1:15" x14ac:dyDescent="0.25">
      <c r="A9" t="s">
        <v>60</v>
      </c>
      <c r="B9" t="s">
        <v>61</v>
      </c>
      <c r="C9" t="s">
        <v>62</v>
      </c>
      <c r="D9" t="s">
        <v>63</v>
      </c>
      <c r="E9" t="s">
        <v>19</v>
      </c>
      <c r="F9" t="s">
        <v>20</v>
      </c>
      <c r="G9" s="2">
        <v>18000</v>
      </c>
      <c r="H9" s="3">
        <f>IFERROR(VLOOKUP(F9,Stages!$A$2:$B$20,2,FALSE),0)</f>
        <v>0.75</v>
      </c>
      <c r="I9" s="2">
        <f>ROUND(G9*H9,2)</f>
        <v>13500</v>
      </c>
      <c r="J9" s="4">
        <v>46305</v>
      </c>
      <c r="K9" s="5">
        <f>IF(ISBLANK(J9),"",Pipeline!$B$2-J9)</f>
        <v>8</v>
      </c>
      <c r="L9" s="5">
        <f>COUNTIF(Activity!B:B,A9)</f>
        <v>1</v>
      </c>
      <c r="M9" t="s">
        <v>64</v>
      </c>
      <c r="N9" s="4">
        <v>46319</v>
      </c>
      <c r="O9" t="str">
        <f>IF(OR(F9="Won",F9="Lost"),"",IF(ISBLANK(N9),"Set next step",IF(N9&lt;Pipeline!$B$2,"Overdue",IF(N9-Pipeline!$B$2&lt;=7,"This week","Later"))))</f>
        <v>This week</v>
      </c>
    </row>
    <row r="10" spans="1:15" x14ac:dyDescent="0.25">
      <c r="A10" t="s">
        <v>65</v>
      </c>
      <c r="B10" t="s">
        <v>66</v>
      </c>
      <c r="C10" t="s">
        <v>67</v>
      </c>
      <c r="D10" t="s">
        <v>68</v>
      </c>
      <c r="E10" t="s">
        <v>26</v>
      </c>
      <c r="F10" t="s">
        <v>69</v>
      </c>
      <c r="G10" s="2">
        <v>6000</v>
      </c>
      <c r="H10" s="3">
        <f>IFERROR(VLOOKUP(F10,Stages!$A$2:$B$20,2,FALSE),0)</f>
        <v>0</v>
      </c>
      <c r="I10" s="2">
        <f>ROUND(G10*H10,2)</f>
        <v>0</v>
      </c>
      <c r="J10" s="4">
        <v>46285</v>
      </c>
      <c r="K10" s="5">
        <f>IF(ISBLANK(J10),"",Pipeline!$B$2-J10)</f>
        <v>28</v>
      </c>
      <c r="L10" s="5">
        <f>COUNTIF(Activity!B:B,A10)</f>
        <v>1</v>
      </c>
      <c r="M10" t="s">
        <v>70</v>
      </c>
      <c r="N10" s="4"/>
      <c r="O10" t="str">
        <f>IF(OR(F10="Won",F10="Lost"),"",IF(ISBLANK(N10),"Set next step",IF(N10&lt;Pipeline!$B$2,"Overdue",IF(N10-Pipeline!$B$2&lt;=7,"This week","Later"))))</f>
        <v/>
      </c>
    </row>
    <row r="11" spans="1:15" x14ac:dyDescent="0.25">
      <c r="A11" t="s">
        <v>71</v>
      </c>
      <c r="B11" t="s">
        <v>72</v>
      </c>
      <c r="C11" t="s">
        <v>73</v>
      </c>
      <c r="D11" t="s">
        <v>74</v>
      </c>
      <c r="E11" t="s">
        <v>40</v>
      </c>
      <c r="F11" t="s">
        <v>52</v>
      </c>
      <c r="G11" s="2">
        <v>8400</v>
      </c>
      <c r="H11" s="3">
        <f>IFERROR(VLOOKUP(F11,Stages!$A$2:$B$20,2,FALSE),0)</f>
        <v>0.1</v>
      </c>
      <c r="I11" s="2">
        <f>ROUND(G11*H11,2)</f>
        <v>840</v>
      </c>
      <c r="J11" s="4">
        <v>46262</v>
      </c>
      <c r="K11" s="5">
        <f>IF(ISBLANK(J11),"",Pipeline!$B$2-J11)</f>
        <v>51</v>
      </c>
      <c r="L11" s="5">
        <f>COUNTIF(Activity!B:B,A11)</f>
        <v>1</v>
      </c>
      <c r="M11" t="s">
        <v>75</v>
      </c>
      <c r="N11" s="4">
        <v>46325</v>
      </c>
      <c r="O11" t="str">
        <f>IF(OR(F11="Won",F11="Lost"),"",IF(ISBLANK(N11),"Set next step",IF(N11&lt;Pipeline!$B$2,"Overdue",IF(N11-Pipeline!$B$2&lt;=7,"This week","Later"))))</f>
        <v>Later</v>
      </c>
    </row>
    <row r="12" spans="1:15" x14ac:dyDescent="0.25">
      <c r="A12" t="s">
        <v>76</v>
      </c>
      <c r="B12" t="s">
        <v>77</v>
      </c>
      <c r="C12" t="s">
        <v>78</v>
      </c>
      <c r="D12" t="s">
        <v>79</v>
      </c>
      <c r="E12" t="s">
        <v>33</v>
      </c>
      <c r="F12" t="s">
        <v>27</v>
      </c>
      <c r="G12" s="2">
        <v>6600</v>
      </c>
      <c r="H12" s="3">
        <f>IFERROR(VLOOKUP(F12,Stages!$A$2:$B$20,2,FALSE),0)</f>
        <v>0.5</v>
      </c>
      <c r="I12" s="2">
        <f>ROUND(G12*H12,2)</f>
        <v>3300</v>
      </c>
      <c r="J12" s="4">
        <v>46308</v>
      </c>
      <c r="K12" s="5">
        <f>IF(ISBLANK(J12),"",Pipeline!$B$2-J12)</f>
        <v>5</v>
      </c>
      <c r="L12" s="5">
        <f>COUNTIF(Activity!B:B,A12)</f>
        <v>1</v>
      </c>
      <c r="M12" t="s">
        <v>80</v>
      </c>
      <c r="N12" s="4">
        <v>46313</v>
      </c>
      <c r="O12" t="str">
        <f>IF(OR(F12="Won",F12="Lost"),"",IF(ISBLANK(N12),"Set next step",IF(N12&lt;Pipeline!$B$2,"Overdue",IF(N12-Pipeline!$B$2&lt;=7,"This week","Later"))))</f>
        <v>This week</v>
      </c>
    </row>
    <row r="13" spans="1:15" x14ac:dyDescent="0.25">
      <c r="A13" t="s">
        <v>81</v>
      </c>
      <c r="B13" t="s">
        <v>82</v>
      </c>
      <c r="C13" t="s">
        <v>83</v>
      </c>
      <c r="D13" t="s">
        <v>84</v>
      </c>
      <c r="E13" t="s">
        <v>19</v>
      </c>
      <c r="F13" t="s">
        <v>46</v>
      </c>
      <c r="G13" s="2">
        <v>36000</v>
      </c>
      <c r="H13" s="3">
        <f>IFERROR(VLOOKUP(F13,Stages!$A$2:$B$20,2,FALSE),0)</f>
        <v>1</v>
      </c>
      <c r="I13" s="2">
        <f>ROUND(G13*H13,2)</f>
        <v>36000</v>
      </c>
      <c r="J13" s="4">
        <v>46291</v>
      </c>
      <c r="K13" s="5">
        <f>IF(ISBLANK(J13),"",Pipeline!$B$2-J13)</f>
        <v>22</v>
      </c>
      <c r="L13" s="5">
        <f>COUNTIF(Activity!B:B,A13)</f>
        <v>2</v>
      </c>
      <c r="M13" t="s">
        <v>85</v>
      </c>
      <c r="N13" s="4">
        <v>46321</v>
      </c>
      <c r="O13" t="str">
        <f>IF(OR(F13="Won",F13="Lost"),"",IF(ISBLANK(N13),"Set next step",IF(N13&lt;Pipeline!$B$2,"Overdue",IF(N13-Pipeline!$B$2&lt;=7,"This week","Later"))))</f>
        <v/>
      </c>
    </row>
    <row r="14" spans="1:15" x14ac:dyDescent="0.25">
      <c r="A14" t="s">
        <v>86</v>
      </c>
      <c r="B14" t="s">
        <v>87</v>
      </c>
      <c r="C14" t="s">
        <v>88</v>
      </c>
      <c r="D14" t="s">
        <v>89</v>
      </c>
      <c r="E14" t="s">
        <v>58</v>
      </c>
      <c r="F14" t="s">
        <v>34</v>
      </c>
      <c r="G14" s="2">
        <v>7200</v>
      </c>
      <c r="H14" s="3">
        <f>IFERROR(VLOOKUP(F14,Stages!$A$2:$B$20,2,FALSE),0)</f>
        <v>0.2</v>
      </c>
      <c r="I14" s="2">
        <f>ROUND(G14*H14,2)</f>
        <v>1440</v>
      </c>
      <c r="J14" s="4">
        <v>46300</v>
      </c>
      <c r="K14" s="5">
        <f>IF(ISBLANK(J14),"",Pipeline!$B$2-J14)</f>
        <v>13</v>
      </c>
      <c r="L14" s="5">
        <f>COUNTIF(Activity!B:B,A14)</f>
        <v>1</v>
      </c>
      <c r="N14" s="4"/>
      <c r="O14" t="str">
        <f>IF(OR(F14="Won",F14="Lost"),"",IF(ISBLANK(N14),"Set next step",IF(N14&lt;Pipeline!$B$2,"Overdue",IF(N14-Pipeline!$B$2&lt;=7,"This week","Later"))))</f>
        <v>Set next step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5" customWidth="1"/>
    <col min="5" max="5" width="11" customWidth="1"/>
  </cols>
  <sheetData>
    <row r="1" spans="1:5" s="1" customFormat="1" x14ac:dyDescent="0.25">
      <c r="A1" s="1" t="s">
        <v>5</v>
      </c>
      <c r="B1" s="1" t="s">
        <v>90</v>
      </c>
      <c r="C1" s="1" t="s">
        <v>91</v>
      </c>
      <c r="D1" s="1" t="s">
        <v>8</v>
      </c>
      <c r="E1" s="1" t="s">
        <v>7</v>
      </c>
    </row>
    <row r="2" spans="1:5" x14ac:dyDescent="0.25">
      <c r="A2" t="s">
        <v>92</v>
      </c>
      <c r="B2" s="4">
        <f>DATE(2026,10,18)</f>
        <v>46313</v>
      </c>
      <c r="C2" s="2"/>
      <c r="D2" s="2"/>
      <c r="E2" s="3"/>
    </row>
    <row r="3" spans="1:5" x14ac:dyDescent="0.25">
      <c r="A3" t="s">
        <v>52</v>
      </c>
      <c r="B3" s="5">
        <f>COUNTIF(Contacts!F:F,A3)</f>
        <v>2</v>
      </c>
      <c r="C3" s="2">
        <f>SUMIF(Contacts!F:F,A3,Contacts!G:G)</f>
        <v>13200</v>
      </c>
      <c r="D3" s="2">
        <f>SUMIF(Contacts!F:F,A3,Contacts!I:I)</f>
        <v>1320</v>
      </c>
      <c r="E3" s="3">
        <f>IFERROR(VLOOKUP(A3,Stages!$A$2:$B$20,2,FALSE),0)</f>
        <v>0.1</v>
      </c>
    </row>
    <row r="4" spans="1:5" x14ac:dyDescent="0.25">
      <c r="A4" t="s">
        <v>34</v>
      </c>
      <c r="B4" s="5">
        <f>COUNTIF(Contacts!F:F,A4)</f>
        <v>3</v>
      </c>
      <c r="C4" s="2">
        <f>SUMIF(Contacts!F:F,A4,Contacts!G:G)</f>
        <v>61200</v>
      </c>
      <c r="D4" s="2">
        <f>SUMIF(Contacts!F:F,A4,Contacts!I:I)</f>
        <v>12240</v>
      </c>
      <c r="E4" s="3">
        <f>IFERROR(VLOOKUP(A4,Stages!$A$2:$B$20,2,FALSE),0)</f>
        <v>0.2</v>
      </c>
    </row>
    <row r="5" spans="1:5" x14ac:dyDescent="0.25">
      <c r="A5" t="s">
        <v>27</v>
      </c>
      <c r="B5" s="5">
        <f>COUNTIF(Contacts!F:F,A5)</f>
        <v>3</v>
      </c>
      <c r="C5" s="2">
        <f>SUMIF(Contacts!F:F,A5,Contacts!G:G)</f>
        <v>37800</v>
      </c>
      <c r="D5" s="2">
        <f>SUMIF(Contacts!F:F,A5,Contacts!I:I)</f>
        <v>18900</v>
      </c>
      <c r="E5" s="3">
        <f>IFERROR(VLOOKUP(A5,Stages!$A$2:$B$20,2,FALSE),0)</f>
        <v>0.5</v>
      </c>
    </row>
    <row r="6" spans="1:5" x14ac:dyDescent="0.25">
      <c r="A6" t="s">
        <v>20</v>
      </c>
      <c r="B6" s="5">
        <f>COUNTIF(Contacts!F:F,A6)</f>
        <v>2</v>
      </c>
      <c r="C6" s="2">
        <f>SUMIF(Contacts!F:F,A6,Contacts!G:G)</f>
        <v>32400</v>
      </c>
      <c r="D6" s="2">
        <f>SUMIF(Contacts!F:F,A6,Contacts!I:I)</f>
        <v>24300</v>
      </c>
      <c r="E6" s="3">
        <f>IFERROR(VLOOKUP(A6,Stages!$A$2:$B$20,2,FALSE),0)</f>
        <v>0.75</v>
      </c>
    </row>
    <row r="7" spans="1:5" x14ac:dyDescent="0.25">
      <c r="A7" t="s">
        <v>46</v>
      </c>
      <c r="B7" s="5">
        <f>COUNTIF(Contacts!F:F,A7)</f>
        <v>2</v>
      </c>
      <c r="C7" s="2">
        <f>SUMIF(Contacts!F:F,A7,Contacts!G:G)</f>
        <v>43800</v>
      </c>
      <c r="D7" s="2">
        <f>SUMIF(Contacts!F:F,A7,Contacts!I:I)</f>
        <v>43800</v>
      </c>
      <c r="E7" s="3">
        <f>IFERROR(VLOOKUP(A7,Stages!$A$2:$B$20,2,FALSE),0)</f>
        <v>1</v>
      </c>
    </row>
    <row r="8" spans="1:5" x14ac:dyDescent="0.25">
      <c r="A8" t="s">
        <v>69</v>
      </c>
      <c r="B8" s="5">
        <f>COUNTIF(Contacts!F:F,A8)</f>
        <v>1</v>
      </c>
      <c r="C8" s="2">
        <f>SUMIF(Contacts!F:F,A8,Contacts!G:G)</f>
        <v>6000</v>
      </c>
      <c r="D8" s="2">
        <f>SUMIF(Contacts!F:F,A8,Contacts!I:I)</f>
        <v>0</v>
      </c>
      <c r="E8" s="3">
        <f>IFERROR(VLOOKUP(A8,Stages!$A$2:$B$20,2,FALSE),0)</f>
        <v>0</v>
      </c>
    </row>
    <row r="9" spans="1:5" x14ac:dyDescent="0.25">
      <c r="A9" t="s">
        <v>93</v>
      </c>
      <c r="B9" s="5">
        <f>SUM(B3:B6)</f>
        <v>10</v>
      </c>
      <c r="C9" s="2">
        <f>SUM(C3:C6)</f>
        <v>144600</v>
      </c>
      <c r="D9" s="2">
        <f>SUM(D3:D6)</f>
        <v>56760</v>
      </c>
      <c r="E9" s="3"/>
    </row>
    <row r="10" spans="1:5" x14ac:dyDescent="0.25">
      <c r="A10" t="s">
        <v>94</v>
      </c>
      <c r="B10" s="3">
        <f>IF(B7+B8=0,0,B7/(B7+B8))</f>
        <v>0.6666666666666666</v>
      </c>
      <c r="C10" s="2"/>
      <c r="D10" s="2"/>
      <c r="E10" s="3"/>
    </row>
    <row r="11" spans="1:5" x14ac:dyDescent="0.25">
      <c r="A11" t="s">
        <v>95</v>
      </c>
      <c r="B11" s="5">
        <f>COUNTIF(Contacts!O:O,"Overdue")</f>
        <v>3</v>
      </c>
      <c r="C11" s="2"/>
      <c r="D11" s="2"/>
      <c r="E11" s="3"/>
    </row>
    <row r="12" spans="1:5" x14ac:dyDescent="0.25">
      <c r="A12" t="s">
        <v>96</v>
      </c>
      <c r="B12" s="5">
        <f>COUNTIF(Contacts!O:O,"This week")</f>
        <v>5</v>
      </c>
      <c r="C12" s="2"/>
      <c r="D12" s="2"/>
      <c r="E12" s="3"/>
    </row>
    <row r="13" spans="1:5" x14ac:dyDescent="0.25">
      <c r="A13" t="s">
        <v>97</v>
      </c>
      <c r="B13" s="5">
        <f>COUNTIF(Contacts!O:O,"Set next step")</f>
        <v>1</v>
      </c>
      <c r="C13" s="2"/>
      <c r="D13" s="2"/>
      <c r="E13" s="3"/>
    </row>
    <row r="14" spans="1:5" x14ac:dyDescent="0.25">
      <c r="A14" t="s">
        <v>98</v>
      </c>
      <c r="B14" s="5">
        <f>COUNTIFS(Contacts!K:K,"&gt;=30",Contacts!F:F,"&lt;&gt;Won",Contacts!F:F,"&lt;&gt;Lost")</f>
        <v>2</v>
      </c>
      <c r="C14" s="2"/>
      <c r="D14" s="2"/>
      <c r="E14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52" customWidth="1"/>
  </cols>
  <sheetData>
    <row r="1" spans="1:3" s="1" customFormat="1" x14ac:dyDescent="0.25">
      <c r="A1" s="1" t="s">
        <v>5</v>
      </c>
      <c r="B1" s="1" t="s">
        <v>7</v>
      </c>
      <c r="C1" s="1" t="s">
        <v>99</v>
      </c>
    </row>
    <row r="2" spans="1:3" x14ac:dyDescent="0.25">
      <c r="A2" t="s">
        <v>52</v>
      </c>
      <c r="B2" s="3">
        <v>0.1</v>
      </c>
      <c r="C2" t="s">
        <v>100</v>
      </c>
    </row>
    <row r="3" spans="1:3" x14ac:dyDescent="0.25">
      <c r="A3" t="s">
        <v>34</v>
      </c>
      <c r="B3" s="3">
        <v>0.2</v>
      </c>
      <c r="C3" t="s">
        <v>101</v>
      </c>
    </row>
    <row r="4" spans="1:3" x14ac:dyDescent="0.25">
      <c r="A4" t="s">
        <v>27</v>
      </c>
      <c r="B4" s="3">
        <v>0.5</v>
      </c>
      <c r="C4" t="s">
        <v>102</v>
      </c>
    </row>
    <row r="5" spans="1:3" x14ac:dyDescent="0.25">
      <c r="A5" t="s">
        <v>20</v>
      </c>
      <c r="B5" s="3">
        <v>0.75</v>
      </c>
      <c r="C5" t="s">
        <v>103</v>
      </c>
    </row>
    <row r="6" spans="1:3" x14ac:dyDescent="0.25">
      <c r="A6" t="s">
        <v>46</v>
      </c>
      <c r="B6" s="3">
        <v>1</v>
      </c>
      <c r="C6" t="s">
        <v>104</v>
      </c>
    </row>
    <row r="7" spans="1:3" x14ac:dyDescent="0.25">
      <c r="A7" t="s">
        <v>69</v>
      </c>
      <c r="B7" s="3">
        <v>0</v>
      </c>
      <c r="C7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0" customWidth="1"/>
    <col min="4" max="4" width="60" customWidth="1"/>
  </cols>
  <sheetData>
    <row r="1" spans="1:4" s="1" customFormat="1" x14ac:dyDescent="0.25">
      <c r="A1" s="1" t="s">
        <v>106</v>
      </c>
      <c r="B1" s="1" t="s">
        <v>0</v>
      </c>
      <c r="C1" s="1" t="s">
        <v>107</v>
      </c>
      <c r="D1" s="1" t="s">
        <v>108</v>
      </c>
    </row>
    <row r="2" spans="1:4" x14ac:dyDescent="0.25">
      <c r="A2" s="4">
        <v>46262</v>
      </c>
      <c r="B2" t="s">
        <v>71</v>
      </c>
      <c r="C2" t="s">
        <v>109</v>
      </c>
      <c r="D2" t="s">
        <v>110</v>
      </c>
    </row>
    <row r="3" spans="1:4" x14ac:dyDescent="0.25">
      <c r="A3" s="4">
        <v>46279</v>
      </c>
      <c r="B3" t="s">
        <v>54</v>
      </c>
      <c r="C3" t="s">
        <v>111</v>
      </c>
      <c r="D3" t="s">
        <v>112</v>
      </c>
    </row>
    <row r="4" spans="1:4" x14ac:dyDescent="0.25">
      <c r="A4" s="4">
        <v>46283</v>
      </c>
      <c r="B4" t="s">
        <v>81</v>
      </c>
      <c r="C4" t="s">
        <v>109</v>
      </c>
      <c r="D4" t="s">
        <v>113</v>
      </c>
    </row>
    <row r="5" spans="1:4" x14ac:dyDescent="0.25">
      <c r="A5" s="4">
        <v>46285</v>
      </c>
      <c r="B5" t="s">
        <v>65</v>
      </c>
      <c r="C5" t="s">
        <v>111</v>
      </c>
      <c r="D5" t="s">
        <v>114</v>
      </c>
    </row>
    <row r="6" spans="1:4" x14ac:dyDescent="0.25">
      <c r="A6" s="4">
        <v>46291</v>
      </c>
      <c r="B6" t="s">
        <v>81</v>
      </c>
      <c r="C6" t="s">
        <v>2</v>
      </c>
      <c r="D6" t="s">
        <v>115</v>
      </c>
    </row>
    <row r="7" spans="1:4" x14ac:dyDescent="0.25">
      <c r="A7" s="4">
        <v>46295</v>
      </c>
      <c r="B7" t="s">
        <v>36</v>
      </c>
      <c r="C7" t="s">
        <v>2</v>
      </c>
      <c r="D7" t="s">
        <v>116</v>
      </c>
    </row>
    <row r="8" spans="1:4" x14ac:dyDescent="0.25">
      <c r="A8" s="4">
        <v>46297</v>
      </c>
      <c r="B8" t="s">
        <v>42</v>
      </c>
      <c r="C8" t="s">
        <v>111</v>
      </c>
      <c r="D8" t="s">
        <v>117</v>
      </c>
    </row>
    <row r="9" spans="1:4" x14ac:dyDescent="0.25">
      <c r="A9" s="4">
        <v>46300</v>
      </c>
      <c r="B9" t="s">
        <v>86</v>
      </c>
      <c r="C9" t="s">
        <v>111</v>
      </c>
      <c r="D9" t="s">
        <v>118</v>
      </c>
    </row>
    <row r="10" spans="1:4" x14ac:dyDescent="0.25">
      <c r="A10" s="4">
        <v>46303</v>
      </c>
      <c r="B10" t="s">
        <v>22</v>
      </c>
      <c r="C10" t="s">
        <v>2</v>
      </c>
      <c r="D10" t="s">
        <v>119</v>
      </c>
    </row>
    <row r="11" spans="1:4" x14ac:dyDescent="0.25">
      <c r="A11" s="4">
        <v>46305</v>
      </c>
      <c r="B11" t="s">
        <v>60</v>
      </c>
      <c r="C11" t="s">
        <v>109</v>
      </c>
      <c r="D11" t="s">
        <v>120</v>
      </c>
    </row>
    <row r="12" spans="1:4" x14ac:dyDescent="0.25">
      <c r="A12" s="4">
        <v>46307</v>
      </c>
      <c r="B12" t="s">
        <v>29</v>
      </c>
      <c r="C12" t="s">
        <v>111</v>
      </c>
      <c r="D12" t="s">
        <v>121</v>
      </c>
    </row>
    <row r="13" spans="1:4" x14ac:dyDescent="0.25">
      <c r="A13" s="4">
        <v>46308</v>
      </c>
      <c r="B13" t="s">
        <v>76</v>
      </c>
      <c r="C13" t="s">
        <v>2</v>
      </c>
      <c r="D13" t="s">
        <v>122</v>
      </c>
    </row>
    <row r="14" spans="1:4" x14ac:dyDescent="0.25">
      <c r="A14" s="4">
        <v>46310</v>
      </c>
      <c r="B14" t="s">
        <v>15</v>
      </c>
      <c r="C14" t="s">
        <v>109</v>
      </c>
      <c r="D14" t="s">
        <v>123</v>
      </c>
    </row>
    <row r="15" spans="1:4" x14ac:dyDescent="0.25">
      <c r="A15" s="4">
        <v>46311</v>
      </c>
      <c r="B15" t="s">
        <v>48</v>
      </c>
      <c r="C15" t="s">
        <v>2</v>
      </c>
      <c r="D15" t="s">
        <v>124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Contacts</vt:lpstr>
      <vt:lpstr>Pipeline</vt:lpstr>
      <vt:lpstr>Stages</vt:lpstr>
      <vt:lpstr>Activity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Simple CRM</dc:title>
  <dc:subject/>
  <dc:description/>
  <cp:keywords/>
  <cp:category/>
  <cp:lastModifiedBy>Unknown</cp:lastModifiedBy>
  <dcterms:created xsi:type="dcterms:W3CDTF">2026-10-18T23:17:08Z</dcterms:created>
  <dcterms:modified xsi:type="dcterms:W3CDTF">2026-10-18T23:17:08Z</dcterms:modified>
</cp:coreProperties>
</file>