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shboard" state="visible" r:id="rId4"/>
    <sheet sheetId="2" name="Monthly Data" state="visible" r:id="rId5"/>
    <sheet sheetId="3" name="Year to Date" state="visible" r:id="rId6"/>
  </sheets>
  <calcPr calcId="171027"/>
</workbook>
</file>

<file path=xl/sharedStrings.xml><?xml version="1.0" encoding="utf-8"?>
<sst xmlns="http://schemas.openxmlformats.org/spreadsheetml/2006/main" count="68" uniqueCount="41">
  <si>
    <t>Dashboard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</si>
  <si>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</si>
  <si>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Monthly numbers in, a KPI dashboard out.</t>
  </si>
  <si>
    <t>Free template</t>
  </si>
  <si>
    <t>Metric</t>
  </si>
  <si>
    <t>This month</t>
  </si>
  <si>
    <t>Last month</t>
  </si>
  <si>
    <t>Change</t>
  </si>
  <si>
    <t>% change</t>
  </si>
  <si>
    <t>Monthly target</t>
  </si>
  <si>
    <t>Aim</t>
  </si>
  <si>
    <t>% of target</t>
  </si>
  <si>
    <t>Status</t>
  </si>
  <si>
    <t>Month shown</t>
  </si>
  <si>
    <t>Revenue</t>
  </si>
  <si>
    <t>Higher</t>
  </si>
  <si>
    <t>Expenses</t>
  </si>
  <si>
    <t>Lower</t>
  </si>
  <si>
    <t>Profit</t>
  </si>
  <si>
    <t>Profit margin</t>
  </si>
  <si>
    <t>Customers</t>
  </si>
  <si>
    <t>New customers</t>
  </si>
  <si>
    <t>Orders</t>
  </si>
  <si>
    <t>Average order</t>
  </si>
  <si>
    <t>Monthly Data</t>
  </si>
  <si>
    <t>Type in the cream cells. Shaded cells are formulas and fill in on their own.</t>
  </si>
  <si>
    <t>Month</t>
  </si>
  <si>
    <t>Notes</t>
  </si>
  <si>
    <t>New year sale</t>
  </si>
  <si>
    <t>Spring catalog out</t>
  </si>
  <si>
    <t>Mother's Day</t>
  </si>
  <si>
    <t>Summer promo</t>
  </si>
  <si>
    <t>Back to school</t>
  </si>
  <si>
    <t>Raised shipping price</t>
  </si>
  <si>
    <t>Year to Date</t>
  </si>
  <si>
    <t>Worked out from your other tabs. Shaded cells are formulas: nothing to type here.</t>
  </si>
  <si>
    <t>Year to date</t>
  </si>
  <si>
    <t>Monthly average</t>
  </si>
  <si>
    <t>Highest month</t>
  </si>
  <si>
    <t>Lowest month</t>
  </si>
  <si>
    <t>Months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</si>
</sst>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 yyyy"/>
    <numFmt numFmtId="165" formatCode="#,##0.##"/>
    <numFmt numFmtId="166" formatCode="0.0%"/>
    <numFmt numFmtId="167" formatCode="&quot;$&quot;#,##0.00"/>
    <numFmt numFmtId="168" formatCode="mmm d,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5" fontId="5" fillId="5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left" vertical="center" indent="1"/>
    </xf>
    <xf numFmtId="167" fontId="5" fillId="4" borderId="2" xfId="0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J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4" width="15" customWidth="1"/>
    <col min="5" max="5" width="11" customWidth="1"/>
    <col min="6" max="6" width="10" customWidth="1"/>
    <col min="7" max="7" width="14" customWidth="1"/>
    <col min="8" max="8" width="8" customWidth="1"/>
    <col min="9" max="10" width="11" customWidth="1"/>
  </cols>
  <sheetData>
    <row r="1" ht="34" customHeight="1" spans="2:10" x14ac:dyDescent="0.25">
      <c r="B1" s="1" t="s">
        <v>0</v>
      </c>
      <c r="H1" s="2" t="s">
        <v>1</v>
      </c>
      <c r="I1" s="2"/>
      <c r="J1" s="2"/>
    </row>
    <row r="2" ht="28" customHeight="1" spans="2:10" x14ac:dyDescent="0.25">
      <c r="B2" s="3" t="s">
        <v>2</v>
      </c>
      <c r="C2" s="3"/>
      <c r="D2" s="3"/>
      <c r="E2" s="3"/>
      <c r="F2" s="3"/>
      <c r="G2" s="3"/>
      <c r="H2" s="4" t="s">
        <v>3</v>
      </c>
      <c r="I2" s="4"/>
      <c r="J2" s="4"/>
    </row>
    <row r="3" ht="4" customHeight="1" spans="2:10" x14ac:dyDescent="0.25">
      <c r="B3" s="5"/>
      <c r="C3" s="5"/>
      <c r="D3" s="5"/>
      <c r="E3" s="5"/>
      <c r="F3" s="5"/>
      <c r="G3" s="5"/>
      <c r="H3" s="5"/>
      <c r="I3" s="5"/>
      <c r="J3" s="5"/>
    </row>
    <row r="4" ht="10" customHeight="1" x14ac:dyDescent="0.25"/>
    <row r="5" ht="30" customHeight="1" spans="2:10" x14ac:dyDescent="0.25"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6" t="s">
        <v>10</v>
      </c>
      <c r="I5" s="8" t="s">
        <v>11</v>
      </c>
      <c r="J5" s="6" t="s">
        <v>12</v>
      </c>
    </row>
    <row r="6" ht="17" customHeight="1" spans="2:10" x14ac:dyDescent="0.25">
      <c r="B6" s="9" t="s">
        <v>13</v>
      </c>
      <c r="C6" s="10">
        <f>DATE(2026,9,1)</f>
        <v>46266</v>
      </c>
      <c r="D6" s="10">
        <f>DATE(YEAR(C6),MONTH(C6)-1,1)</f>
        <v>46235</v>
      </c>
      <c r="E6" s="11"/>
      <c r="F6" s="12"/>
      <c r="G6" s="11"/>
      <c r="H6" s="9"/>
      <c r="I6" s="12"/>
      <c r="J6" s="9"/>
    </row>
    <row r="7" ht="17" customHeight="1" spans="2:10" x14ac:dyDescent="0.25">
      <c r="B7" s="9" t="s">
        <v>14</v>
      </c>
      <c r="C7" s="13">
        <f>IFERROR(VLOOKUP($C$6,'Monthly Data'!$B$6:$K$17,2,FALSE),"")</f>
        <v>23900</v>
      </c>
      <c r="D7" s="13">
        <f>IFERROR(VLOOKUP($D$6,'Monthly Data'!$B$6:$K$17,2,FALSE),"")</f>
        <v>24800</v>
      </c>
      <c r="E7" s="13">
        <f>IF(AND(ISNUMBER(C7),ISNUMBER(D7)),C7-D7,"")</f>
        <v>-900</v>
      </c>
      <c r="F7" s="14">
        <f>IF(AND(ISNUMBER(C7),ISNUMBER(D7)),IF(D7=0,"",C7/D7-1),"")</f>
        <v>-0.03629032258064513</v>
      </c>
      <c r="G7" s="13">
        <f>24000</f>
        <v>24000</v>
      </c>
      <c r="H7" s="9" t="s">
        <v>15</v>
      </c>
      <c r="I7" s="14">
        <f>IF(AND(ISNUMBER(C7),ISNUMBER(G7)),IF(G7=0,"",C7/G7),"")</f>
        <v>0.9958333333333333</v>
      </c>
      <c r="J7" s="15" t="str">
        <f>IF(AND(ISNUMBER(C7),ISNUMBER(G7)),IF(H7="Lower",IF(C7&lt;=G7,"On target","Behind"),IF(C7&gt;=G7,"On target","Behind")),"")</f>
        <v>Behind</v>
      </c>
    </row>
    <row r="8" ht="17" customHeight="1" spans="2:10" x14ac:dyDescent="0.25">
      <c r="B8" s="9" t="s">
        <v>16</v>
      </c>
      <c r="C8" s="13">
        <f>IFERROR(VLOOKUP($C$6,'Monthly Data'!$B$6:$K$17,3,FALSE),"")</f>
        <v>17900</v>
      </c>
      <c r="D8" s="13">
        <f>IFERROR(VLOOKUP($D$6,'Monthly Data'!$B$6:$K$17,3,FALSE),"")</f>
        <v>17600</v>
      </c>
      <c r="E8" s="13">
        <f>IF(AND(ISNUMBER(C8),ISNUMBER(D8)),C8-D8,"")</f>
        <v>300</v>
      </c>
      <c r="F8" s="14">
        <f>IF(AND(ISNUMBER(C8),ISNUMBER(D8)),IF(D8=0,"",C8/D8-1),"")</f>
        <v>0.017045454545454586</v>
      </c>
      <c r="G8" s="13">
        <f>18000</f>
        <v>18000</v>
      </c>
      <c r="H8" s="9" t="s">
        <v>17</v>
      </c>
      <c r="I8" s="14">
        <f>IF(AND(ISNUMBER(C8),ISNUMBER(G8)),IF(G8=0,"",C8/G8),"")</f>
        <v>0.9944444444444445</v>
      </c>
      <c r="J8" s="15" t="str">
        <f>IF(AND(ISNUMBER(C8),ISNUMBER(G8)),IF(H8="Lower",IF(C8&lt;=G8,"On target","Behind"),IF(C8&gt;=G8,"On target","Behind")),"")</f>
        <v>On target</v>
      </c>
    </row>
    <row r="9" ht="17" customHeight="1" spans="2:10" x14ac:dyDescent="0.25">
      <c r="B9" s="9" t="s">
        <v>18</v>
      </c>
      <c r="C9" s="13">
        <f>IFERROR(VLOOKUP($C$6,'Monthly Data'!$B$6:$K$17,4,FALSE),"")</f>
        <v>6000</v>
      </c>
      <c r="D9" s="13">
        <f>IFERROR(VLOOKUP($D$6,'Monthly Data'!$B$6:$K$17,4,FALSE),"")</f>
        <v>7200</v>
      </c>
      <c r="E9" s="13">
        <f>IF(AND(ISNUMBER(C9),ISNUMBER(D9)),C9-D9,"")</f>
        <v>-1200</v>
      </c>
      <c r="F9" s="14">
        <f>IF(AND(ISNUMBER(C9),ISNUMBER(D9)),IF(D9=0,"",C9/D9-1),"")</f>
        <v>-0.16666666666666663</v>
      </c>
      <c r="G9" s="13">
        <f>6500</f>
        <v>6500</v>
      </c>
      <c r="H9" s="9" t="s">
        <v>15</v>
      </c>
      <c r="I9" s="14">
        <f>IF(AND(ISNUMBER(C9),ISNUMBER(G9)),IF(G9=0,"",C9/G9),"")</f>
        <v>0.9230769230769231</v>
      </c>
      <c r="J9" s="15" t="str">
        <f>IF(AND(ISNUMBER(C9),ISNUMBER(G9)),IF(H9="Lower",IF(C9&lt;=G9,"On target","Behind"),IF(C9&gt;=G9,"On target","Behind")),"")</f>
        <v>Behind</v>
      </c>
    </row>
    <row r="10" ht="17" customHeight="1" spans="2:10" x14ac:dyDescent="0.25">
      <c r="B10" s="9" t="s">
        <v>19</v>
      </c>
      <c r="C10" s="14">
        <f>IFERROR(VLOOKUP($C$6,'Monthly Data'!$B$6:$K$17,5,FALSE),"")</f>
        <v>0.2510460251046025</v>
      </c>
      <c r="D10" s="14">
        <f>IFERROR(VLOOKUP($D$6,'Monthly Data'!$B$6:$K$17,5,FALSE),"")</f>
        <v>0.2903225806451613</v>
      </c>
      <c r="E10" s="14">
        <f>IF(AND(ISNUMBER(C10),ISNUMBER(D10)),C10-D10,"")</f>
        <v>-0.03927655554055881</v>
      </c>
      <c r="F10" s="14">
        <f>IF(AND(ISNUMBER(C10),ISNUMBER(D10)),IF(D10=0,"",C10/D10-1),"")</f>
        <v>-0.13528591352859143</v>
      </c>
      <c r="G10" s="14">
        <f>0.25</f>
        <v>0.25</v>
      </c>
      <c r="H10" s="9" t="s">
        <v>15</v>
      </c>
      <c r="I10" s="14">
        <f>IF(AND(ISNUMBER(C10),ISNUMBER(G10)),IF(G10=0,"",C10/G10),"")</f>
        <v>1.00418410041841</v>
      </c>
      <c r="J10" s="15" t="str">
        <f>IF(AND(ISNUMBER(C10),ISNUMBER(G10)),IF(H10="Lower",IF(C10&lt;=G10,"On target","Behind"),IF(C10&gt;=G10,"On target","Behind")),"")</f>
        <v>On target</v>
      </c>
    </row>
    <row r="11" ht="17" customHeight="1" spans="2:10" x14ac:dyDescent="0.25">
      <c r="B11" s="9" t="s">
        <v>20</v>
      </c>
      <c r="C11" s="16">
        <f>IFERROR(VLOOKUP($C$6,'Monthly Data'!$B$6:$K$17,6,FALSE),"")</f>
        <v>392</v>
      </c>
      <c r="D11" s="16">
        <f>IFERROR(VLOOKUP($D$6,'Monthly Data'!$B$6:$K$17,6,FALSE),"")</f>
        <v>401</v>
      </c>
      <c r="E11" s="16">
        <f>IF(AND(ISNUMBER(C11),ISNUMBER(D11)),C11-D11,"")</f>
        <v>-9</v>
      </c>
      <c r="F11" s="14">
        <f>IF(AND(ISNUMBER(C11),ISNUMBER(D11)),IF(D11=0,"",C11/D11-1),"")</f>
        <v>-0.02244389027431426</v>
      </c>
      <c r="G11" s="16">
        <f>380</f>
        <v>380</v>
      </c>
      <c r="H11" s="9" t="s">
        <v>15</v>
      </c>
      <c r="I11" s="14">
        <f>IF(AND(ISNUMBER(C11),ISNUMBER(G11)),IF(G11=0,"",C11/G11),"")</f>
        <v>1.0315789473684212</v>
      </c>
      <c r="J11" s="15" t="str">
        <f>IF(AND(ISNUMBER(C11),ISNUMBER(G11)),IF(H11="Lower",IF(C11&lt;=G11,"On target","Behind"),IF(C11&gt;=G11,"On target","Behind")),"")</f>
        <v>On target</v>
      </c>
    </row>
    <row r="12" ht="17" customHeight="1" spans="2:10" x14ac:dyDescent="0.25">
      <c r="B12" s="9" t="s">
        <v>21</v>
      </c>
      <c r="C12" s="16">
        <f>IFERROR(VLOOKUP($C$6,'Monthly Data'!$B$6:$K$17,7,FALSE),"")</f>
        <v>58</v>
      </c>
      <c r="D12" s="16">
        <f>IFERROR(VLOOKUP($D$6,'Monthly Data'!$B$6:$K$17,7,FALSE),"")</f>
        <v>72</v>
      </c>
      <c r="E12" s="16">
        <f>IF(AND(ISNUMBER(C12),ISNUMBER(D12)),C12-D12,"")</f>
        <v>-14</v>
      </c>
      <c r="F12" s="14">
        <f>IF(AND(ISNUMBER(C12),ISNUMBER(D12)),IF(D12=0,"",C12/D12-1),"")</f>
        <v>-0.19444444444444442</v>
      </c>
      <c r="G12" s="16">
        <f>60</f>
        <v>60</v>
      </c>
      <c r="H12" s="9" t="s">
        <v>15</v>
      </c>
      <c r="I12" s="14">
        <f>IF(AND(ISNUMBER(C12),ISNUMBER(G12)),IF(G12=0,"",C12/G12),"")</f>
        <v>0.9666666666666667</v>
      </c>
      <c r="J12" s="15" t="str">
        <f>IF(AND(ISNUMBER(C12),ISNUMBER(G12)),IF(H12="Lower",IF(C12&lt;=G12,"On target","Behind"),IF(C12&gt;=G12,"On target","Behind")),"")</f>
        <v>Behind</v>
      </c>
    </row>
    <row r="13" ht="17" customHeight="1" spans="2:10" x14ac:dyDescent="0.25">
      <c r="B13" s="9" t="s">
        <v>22</v>
      </c>
      <c r="C13" s="16">
        <f>IFERROR(VLOOKUP($C$6,'Monthly Data'!$B$6:$K$17,8,FALSE),"")</f>
        <v>514</v>
      </c>
      <c r="D13" s="16">
        <f>IFERROR(VLOOKUP($D$6,'Monthly Data'!$B$6:$K$17,8,FALSE),"")</f>
        <v>529</v>
      </c>
      <c r="E13" s="16">
        <f>IF(AND(ISNUMBER(C13),ISNUMBER(D13)),C13-D13,"")</f>
        <v>-15</v>
      </c>
      <c r="F13" s="14">
        <f>IF(AND(ISNUMBER(C13),ISNUMBER(D13)),IF(D13=0,"",C13/D13-1),"")</f>
        <v>-0.02835538752362954</v>
      </c>
      <c r="G13" s="16">
        <f>500</f>
        <v>500</v>
      </c>
      <c r="H13" s="9" t="s">
        <v>15</v>
      </c>
      <c r="I13" s="14">
        <f>IF(AND(ISNUMBER(C13),ISNUMBER(G13)),IF(G13=0,"",C13/G13),"")</f>
        <v>1.028</v>
      </c>
      <c r="J13" s="15" t="str">
        <f>IF(AND(ISNUMBER(C13),ISNUMBER(G13)),IF(H13="Lower",IF(C13&lt;=G13,"On target","Behind"),IF(C13&gt;=G13,"On target","Behind")),"")</f>
        <v>On target</v>
      </c>
    </row>
    <row r="14" ht="17" customHeight="1" spans="2:10" x14ac:dyDescent="0.25">
      <c r="B14" s="9" t="s">
        <v>23</v>
      </c>
      <c r="C14" s="13">
        <f>IFERROR(VLOOKUP($C$6,'Monthly Data'!$B$6:$K$17,9,FALSE),"")</f>
        <v>46.49805447470817</v>
      </c>
      <c r="D14" s="13">
        <f>IFERROR(VLOOKUP($D$6,'Monthly Data'!$B$6:$K$17,9,FALSE),"")</f>
        <v>46.880907372400756</v>
      </c>
      <c r="E14" s="13">
        <f>IF(AND(ISNUMBER(C14),ISNUMBER(D14)),C14-D14,"")</f>
        <v>-0.3828528976925867</v>
      </c>
      <c r="F14" s="14">
        <f>IF(AND(ISNUMBER(C14),ISNUMBER(D14)),IF(D14=0,"",C14/D14-1),"")</f>
        <v>-0.008166499309652298</v>
      </c>
      <c r="G14" s="13">
        <f>45</f>
        <v>45</v>
      </c>
      <c r="H14" s="9" t="s">
        <v>15</v>
      </c>
      <c r="I14" s="14">
        <f>IF(AND(ISNUMBER(C14),ISNUMBER(G14)),IF(G14=0,"",C14/G14),"")</f>
        <v>1.0332900994379592</v>
      </c>
      <c r="J14" s="15" t="str">
        <f>IF(AND(ISNUMBER(C14),ISNUMBER(G14)),IF(H14="Lower",IF(C14&lt;=G14,"On target","Behind"),IF(C14&gt;=G14,"On target","Behind")),"")</f>
        <v>On target</v>
      </c>
    </row>
    <row r="15" ht="17" customHeight="1" spans="2:10" x14ac:dyDescent="0.25">
      <c r="B15" s="9"/>
      <c r="C15" s="11"/>
      <c r="D15" s="11"/>
      <c r="E15" s="11"/>
      <c r="F15" s="12"/>
      <c r="G15" s="11"/>
      <c r="H15" s="9"/>
      <c r="I15" s="12"/>
      <c r="J15" s="9"/>
    </row>
    <row r="16" ht="17" customHeight="1" spans="2:10" x14ac:dyDescent="0.25">
      <c r="B16" s="9"/>
      <c r="C16" s="11"/>
      <c r="D16" s="11"/>
      <c r="E16" s="11"/>
      <c r="F16" s="12"/>
      <c r="G16" s="11"/>
      <c r="H16" s="9"/>
      <c r="I16" s="12"/>
      <c r="J16" s="9"/>
    </row>
    <row r="17" ht="17" customHeight="1" spans="2:10" x14ac:dyDescent="0.25">
      <c r="B17" s="9"/>
      <c r="C17" s="11"/>
      <c r="D17" s="11"/>
      <c r="E17" s="11"/>
      <c r="F17" s="12"/>
      <c r="G17" s="11"/>
      <c r="H17" s="9"/>
      <c r="I17" s="12"/>
      <c r="J17" s="9"/>
    </row>
    <row r="18" ht="17" customHeight="1" spans="2:10" x14ac:dyDescent="0.25">
      <c r="B18" s="9"/>
      <c r="C18" s="11"/>
      <c r="D18" s="11"/>
      <c r="E18" s="11"/>
      <c r="F18" s="12"/>
      <c r="G18" s="11"/>
      <c r="H18" s="9"/>
      <c r="I18" s="12"/>
      <c r="J18" s="9"/>
    </row>
    <row r="19" ht="17" customHeight="1" spans="2:10" x14ac:dyDescent="0.25">
      <c r="B19" s="9"/>
      <c r="C19" s="11"/>
      <c r="D19" s="11"/>
      <c r="E19" s="11"/>
      <c r="F19" s="12"/>
      <c r="G19" s="11"/>
      <c r="H19" s="9"/>
      <c r="I19" s="12"/>
      <c r="J19" s="9"/>
    </row>
    <row r="20" ht="17" customHeight="1" spans="2:10" x14ac:dyDescent="0.25">
      <c r="B20" s="9"/>
      <c r="C20" s="11"/>
      <c r="D20" s="11"/>
      <c r="E20" s="11"/>
      <c r="F20" s="12"/>
      <c r="G20" s="11"/>
      <c r="H20" s="9"/>
      <c r="I20" s="12"/>
      <c r="J20" s="9"/>
    </row>
    <row r="21" ht="17" customHeight="1" spans="2:10" x14ac:dyDescent="0.25">
      <c r="B21" s="9"/>
      <c r="C21" s="11"/>
      <c r="D21" s="11"/>
      <c r="E21" s="11"/>
      <c r="F21" s="12"/>
      <c r="G21" s="11"/>
      <c r="H21" s="9"/>
      <c r="I21" s="12"/>
      <c r="J21" s="9"/>
    </row>
    <row r="22" ht="17" customHeight="1" spans="2:10" x14ac:dyDescent="0.25">
      <c r="B22" s="9"/>
      <c r="C22" s="11"/>
      <c r="D22" s="11"/>
      <c r="E22" s="11"/>
      <c r="F22" s="12"/>
      <c r="G22" s="11"/>
      <c r="H22" s="9"/>
      <c r="I22" s="12"/>
      <c r="J22" s="9"/>
    </row>
    <row r="23" ht="17" customHeight="1" spans="2:10" x14ac:dyDescent="0.25">
      <c r="B23" s="9"/>
      <c r="C23" s="11"/>
      <c r="D23" s="11"/>
      <c r="E23" s="11"/>
      <c r="F23" s="12"/>
      <c r="G23" s="11"/>
      <c r="H23" s="9"/>
      <c r="I23" s="12"/>
      <c r="J23" s="9"/>
    </row>
    <row r="24" ht="17" customHeight="1" spans="2:10" x14ac:dyDescent="0.25">
      <c r="B24" s="9"/>
      <c r="C24" s="11"/>
      <c r="D24" s="11"/>
      <c r="E24" s="11"/>
      <c r="F24" s="12"/>
      <c r="G24" s="11"/>
      <c r="H24" s="9"/>
      <c r="I24" s="12"/>
      <c r="J24" s="9"/>
    </row>
    <row r="25" ht="17" customHeight="1" spans="2:10" x14ac:dyDescent="0.25">
      <c r="B25" s="9"/>
      <c r="C25" s="11"/>
      <c r="D25" s="11"/>
      <c r="E25" s="11"/>
      <c r="F25" s="12"/>
      <c r="G25" s="11"/>
      <c r="H25" s="9"/>
      <c r="I25" s="12"/>
      <c r="J25" s="9"/>
    </row>
    <row r="26" ht="17" customHeight="1" spans="2:10" x14ac:dyDescent="0.25">
      <c r="B26" s="9"/>
      <c r="C26" s="11"/>
      <c r="D26" s="11"/>
      <c r="E26" s="11"/>
      <c r="F26" s="12"/>
      <c r="G26" s="11"/>
      <c r="H26" s="9"/>
      <c r="I26" s="12"/>
      <c r="J26" s="9"/>
    </row>
    <row r="27" ht="17" customHeight="1" spans="2:10" x14ac:dyDescent="0.25">
      <c r="B27" s="9"/>
      <c r="C27" s="11"/>
      <c r="D27" s="11"/>
      <c r="E27" s="11"/>
      <c r="F27" s="12"/>
      <c r="G27" s="11"/>
      <c r="H27" s="9"/>
      <c r="I27" s="12"/>
      <c r="J27" s="9"/>
    </row>
    <row r="28" ht="17" customHeight="1" spans="2:10" x14ac:dyDescent="0.25">
      <c r="B28" s="9"/>
      <c r="C28" s="11"/>
      <c r="D28" s="11"/>
      <c r="E28" s="11"/>
      <c r="F28" s="12"/>
      <c r="G28" s="11"/>
      <c r="H28" s="9"/>
      <c r="I28" s="12"/>
      <c r="J28" s="9"/>
    </row>
    <row r="29" ht="17" customHeight="1" spans="2:10" x14ac:dyDescent="0.25">
      <c r="B29" s="9"/>
      <c r="C29" s="11"/>
      <c r="D29" s="11"/>
      <c r="E29" s="11"/>
      <c r="F29" s="12"/>
      <c r="G29" s="11"/>
      <c r="H29" s="9"/>
      <c r="I29" s="12"/>
      <c r="J29" s="9"/>
    </row>
    <row r="30" ht="17" customHeight="1" spans="2:10" x14ac:dyDescent="0.25">
      <c r="B30" s="9"/>
      <c r="C30" s="11"/>
      <c r="D30" s="11"/>
      <c r="E30" s="11"/>
      <c r="F30" s="12"/>
      <c r="G30" s="11"/>
      <c r="H30" s="9"/>
      <c r="I30" s="12"/>
      <c r="J30" s="9"/>
    </row>
  </sheetData>
  <mergeCells count="3">
    <mergeCell ref="H1:J1"/>
    <mergeCell ref="B2:G2"/>
    <mergeCell ref="H2:J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K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5" width="12" customWidth="1"/>
    <col min="6" max="6" width="13" customWidth="1"/>
    <col min="7" max="7" width="11" customWidth="1"/>
    <col min="8" max="8" width="14" customWidth="1"/>
    <col min="10" max="10" width="13" customWidth="1"/>
    <col min="11" max="11" width="24" customWidth="1"/>
  </cols>
  <sheetData>
    <row r="1" ht="34" customHeight="1" spans="2:11" x14ac:dyDescent="0.25">
      <c r="B1" s="1" t="s">
        <v>24</v>
      </c>
      <c r="I1" s="2" t="s">
        <v>1</v>
      </c>
      <c r="J1" s="2"/>
      <c r="K1" s="2"/>
    </row>
    <row r="2" ht="28" customHeight="1" spans="2:11" x14ac:dyDescent="0.25">
      <c r="B2" s="3" t="s">
        <v>25</v>
      </c>
      <c r="C2" s="3"/>
      <c r="D2" s="3"/>
      <c r="E2" s="3"/>
      <c r="F2" s="3"/>
      <c r="G2" s="3"/>
      <c r="H2" s="3"/>
      <c r="I2" s="4" t="s">
        <v>3</v>
      </c>
      <c r="J2" s="4"/>
      <c r="K2" s="4"/>
    </row>
    <row r="3" ht="4" customHeight="1" spans="2:1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ht="10" customHeight="1" x14ac:dyDescent="0.25"/>
    <row r="5" ht="30" customHeight="1" spans="2:11" x14ac:dyDescent="0.25">
      <c r="B5" s="6" t="s">
        <v>26</v>
      </c>
      <c r="C5" s="7" t="s">
        <v>14</v>
      </c>
      <c r="D5" s="7" t="s">
        <v>16</v>
      </c>
      <c r="E5" s="7" t="s">
        <v>18</v>
      </c>
      <c r="F5" s="8" t="s">
        <v>19</v>
      </c>
      <c r="G5" s="7" t="s">
        <v>20</v>
      </c>
      <c r="H5" s="8" t="s">
        <v>21</v>
      </c>
      <c r="I5" s="7" t="s">
        <v>22</v>
      </c>
      <c r="J5" s="8" t="s">
        <v>23</v>
      </c>
      <c r="K5" s="6" t="s">
        <v>27</v>
      </c>
    </row>
    <row r="6" ht="17" customHeight="1" spans="2:11" x14ac:dyDescent="0.25">
      <c r="B6" s="17">
        <f>DATE(2026,1,1)</f>
        <v>46023</v>
      </c>
      <c r="C6" s="18">
        <v>18400</v>
      </c>
      <c r="D6" s="18">
        <v>14100</v>
      </c>
      <c r="E6" s="13">
        <f>IF(ISNUMBER(C6),C6-D6,"")</f>
        <v>4300</v>
      </c>
      <c r="F6" s="14">
        <f>IF(AND(ISNUMBER(C6),C6&gt;0),(C6-D6)/C6,"")</f>
        <v>0.23369565217391305</v>
      </c>
      <c r="G6" s="11">
        <v>312</v>
      </c>
      <c r="H6" s="11">
        <v>48</v>
      </c>
      <c r="I6" s="11">
        <v>405</v>
      </c>
      <c r="J6" s="13">
        <f>IF(AND(ISNUMBER(C6),ISNUMBER(I6)),IF(I6&gt;0,C6/I6,""),"")</f>
        <v>45.4320987654321</v>
      </c>
      <c r="K6" s="9" t="s">
        <v>28</v>
      </c>
    </row>
    <row r="7" ht="17" customHeight="1" spans="2:11" x14ac:dyDescent="0.25">
      <c r="B7" s="17">
        <f>DATE(2026,2,1)</f>
        <v>46054</v>
      </c>
      <c r="C7" s="18">
        <v>17200</v>
      </c>
      <c r="D7" s="18">
        <v>13600</v>
      </c>
      <c r="E7" s="13">
        <f>IF(ISNUMBER(C7),C7-D7,"")</f>
        <v>3600</v>
      </c>
      <c r="F7" s="14">
        <f>IF(AND(ISNUMBER(C7),C7&gt;0),(C7-D7)/C7,"")</f>
        <v>0.20930232558139536</v>
      </c>
      <c r="G7" s="11">
        <v>298</v>
      </c>
      <c r="H7" s="11">
        <v>41</v>
      </c>
      <c r="I7" s="11">
        <v>381</v>
      </c>
      <c r="J7" s="13">
        <f>IF(AND(ISNUMBER(C7),ISNUMBER(I7)),IF(I7&gt;0,C7/I7,""),"")</f>
        <v>45.14435695538058</v>
      </c>
      <c r="K7" s="9"/>
    </row>
    <row r="8" ht="17" customHeight="1" spans="2:11" x14ac:dyDescent="0.25">
      <c r="B8" s="17">
        <f>DATE(2026,3,1)</f>
        <v>46082</v>
      </c>
      <c r="C8" s="18">
        <v>19800</v>
      </c>
      <c r="D8" s="18">
        <v>14900</v>
      </c>
      <c r="E8" s="13">
        <f>IF(ISNUMBER(C8),C8-D8,"")</f>
        <v>4900</v>
      </c>
      <c r="F8" s="14">
        <f>IF(AND(ISNUMBER(C8),C8&gt;0),(C8-D8)/C8,"")</f>
        <v>0.2474747474747475</v>
      </c>
      <c r="G8" s="11">
        <v>335</v>
      </c>
      <c r="H8" s="11">
        <v>57</v>
      </c>
      <c r="I8" s="11">
        <v>438</v>
      </c>
      <c r="J8" s="13">
        <f>IF(AND(ISNUMBER(C8),ISNUMBER(I8)),IF(I8&gt;0,C8/I8,""),"")</f>
        <v>45.205479452054796</v>
      </c>
      <c r="K8" s="9" t="s">
        <v>29</v>
      </c>
    </row>
    <row r="9" ht="17" customHeight="1" spans="2:11" x14ac:dyDescent="0.25">
      <c r="B9" s="17">
        <f>DATE(2026,4,1)</f>
        <v>46113</v>
      </c>
      <c r="C9" s="18">
        <v>21300</v>
      </c>
      <c r="D9" s="18">
        <v>15700</v>
      </c>
      <c r="E9" s="13">
        <f>IF(ISNUMBER(C9),C9-D9,"")</f>
        <v>5600</v>
      </c>
      <c r="F9" s="14">
        <f>IF(AND(ISNUMBER(C9),C9&gt;0),(C9-D9)/C9,"")</f>
        <v>0.26291079812206575</v>
      </c>
      <c r="G9" s="11">
        <v>352</v>
      </c>
      <c r="H9" s="11">
        <v>62</v>
      </c>
      <c r="I9" s="11">
        <v>466</v>
      </c>
      <c r="J9" s="13">
        <f>IF(AND(ISNUMBER(C9),ISNUMBER(I9)),IF(I9&gt;0,C9/I9,""),"")</f>
        <v>45.708154506437765</v>
      </c>
      <c r="K9" s="9"/>
    </row>
    <row r="10" ht="17" customHeight="1" spans="2:11" x14ac:dyDescent="0.25">
      <c r="B10" s="17">
        <f>DATE(2026,5,1)</f>
        <v>46143</v>
      </c>
      <c r="C10" s="18">
        <v>22900</v>
      </c>
      <c r="D10" s="18">
        <v>16300</v>
      </c>
      <c r="E10" s="13">
        <f>IF(ISNUMBER(C10),C10-D10,"")</f>
        <v>6600</v>
      </c>
      <c r="F10" s="14">
        <f>IF(AND(ISNUMBER(C10),C10&gt;0),(C10-D10)/C10,"")</f>
        <v>0.28820960698689957</v>
      </c>
      <c r="G10" s="11">
        <v>371</v>
      </c>
      <c r="H10" s="11">
        <v>66</v>
      </c>
      <c r="I10" s="11">
        <v>492</v>
      </c>
      <c r="J10" s="13">
        <f>IF(AND(ISNUMBER(C10),ISNUMBER(I10)),IF(I10&gt;0,C10/I10,""),"")</f>
        <v>46.54471544715447</v>
      </c>
      <c r="K10" s="9" t="s">
        <v>30</v>
      </c>
    </row>
    <row r="11" ht="17" customHeight="1" spans="2:11" x14ac:dyDescent="0.25">
      <c r="B11" s="17">
        <f>DATE(2026,6,1)</f>
        <v>46174</v>
      </c>
      <c r="C11" s="18">
        <v>21700</v>
      </c>
      <c r="D11" s="18">
        <v>15900</v>
      </c>
      <c r="E11" s="13">
        <f>IF(ISNUMBER(C11),C11-D11,"")</f>
        <v>5800</v>
      </c>
      <c r="F11" s="14">
        <f>IF(AND(ISNUMBER(C11),C11&gt;0),(C11-D11)/C11,"")</f>
        <v>0.2672811059907834</v>
      </c>
      <c r="G11" s="11">
        <v>360</v>
      </c>
      <c r="H11" s="11">
        <v>55</v>
      </c>
      <c r="I11" s="11">
        <v>471</v>
      </c>
      <c r="J11" s="13">
        <f>IF(AND(ISNUMBER(C11),ISNUMBER(I11)),IF(I11&gt;0,C11/I11,""),"")</f>
        <v>46.07218683651805</v>
      </c>
      <c r="K11" s="9"/>
    </row>
    <row r="12" ht="17" customHeight="1" spans="2:11" x14ac:dyDescent="0.25">
      <c r="B12" s="17">
        <f>DATE(2026,7,1)</f>
        <v>46204</v>
      </c>
      <c r="C12" s="18">
        <v>23400</v>
      </c>
      <c r="D12" s="18">
        <v>16800</v>
      </c>
      <c r="E12" s="13">
        <f>IF(ISNUMBER(C12),C12-D12,"")</f>
        <v>6600</v>
      </c>
      <c r="F12" s="14">
        <f>IF(AND(ISNUMBER(C12),C12&gt;0),(C12-D12)/C12,"")</f>
        <v>0.28205128205128205</v>
      </c>
      <c r="G12" s="11">
        <v>384</v>
      </c>
      <c r="H12" s="11">
        <v>69</v>
      </c>
      <c r="I12" s="11">
        <v>505</v>
      </c>
      <c r="J12" s="13">
        <f>IF(AND(ISNUMBER(C12),ISNUMBER(I12)),IF(I12&gt;0,C12/I12,""),"")</f>
        <v>46.336633663366335</v>
      </c>
      <c r="K12" s="9" t="s">
        <v>31</v>
      </c>
    </row>
    <row r="13" ht="17" customHeight="1" spans="2:11" x14ac:dyDescent="0.25">
      <c r="B13" s="17">
        <f>DATE(2026,8,1)</f>
        <v>46235</v>
      </c>
      <c r="C13" s="18">
        <v>24800</v>
      </c>
      <c r="D13" s="18">
        <v>17600</v>
      </c>
      <c r="E13" s="13">
        <f>IF(ISNUMBER(C13),C13-D13,"")</f>
        <v>7200</v>
      </c>
      <c r="F13" s="14">
        <f>IF(AND(ISNUMBER(C13),C13&gt;0),(C13-D13)/C13,"")</f>
        <v>0.2903225806451613</v>
      </c>
      <c r="G13" s="11">
        <v>401</v>
      </c>
      <c r="H13" s="11">
        <v>72</v>
      </c>
      <c r="I13" s="11">
        <v>529</v>
      </c>
      <c r="J13" s="13">
        <f>IF(AND(ISNUMBER(C13),ISNUMBER(I13)),IF(I13&gt;0,C13/I13,""),"")</f>
        <v>46.880907372400756</v>
      </c>
      <c r="K13" s="9" t="s">
        <v>32</v>
      </c>
    </row>
    <row r="14" ht="17" customHeight="1" spans="2:11" x14ac:dyDescent="0.25">
      <c r="B14" s="17">
        <f>DATE(2026,9,1)</f>
        <v>46266</v>
      </c>
      <c r="C14" s="18">
        <v>23900</v>
      </c>
      <c r="D14" s="18">
        <v>17900</v>
      </c>
      <c r="E14" s="13">
        <f>IF(ISNUMBER(C14),C14-D14,"")</f>
        <v>6000</v>
      </c>
      <c r="F14" s="14">
        <f>IF(AND(ISNUMBER(C14),C14&gt;0),(C14-D14)/C14,"")</f>
        <v>0.2510460251046025</v>
      </c>
      <c r="G14" s="11">
        <v>392</v>
      </c>
      <c r="H14" s="11">
        <v>58</v>
      </c>
      <c r="I14" s="11">
        <v>514</v>
      </c>
      <c r="J14" s="13">
        <f>IF(AND(ISNUMBER(C14),ISNUMBER(I14)),IF(I14&gt;0,C14/I14,""),"")</f>
        <v>46.49805447470817</v>
      </c>
      <c r="K14" s="9" t="s">
        <v>33</v>
      </c>
    </row>
    <row r="15" ht="17" customHeight="1" spans="2:11" x14ac:dyDescent="0.25">
      <c r="B15" s="17">
        <f>DATE(2026,10,1)</f>
        <v>46296</v>
      </c>
      <c r="C15" s="18"/>
      <c r="D15" s="18"/>
      <c r="E15" s="13" t="str">
        <f>IF(ISNUMBER(C15),C15-D15,"")</f>
        <v/>
      </c>
      <c r="F15" s="14" t="str">
        <f>IF(AND(ISNUMBER(C15),C15&gt;0),(C15-D15)/C15,"")</f>
        <v/>
      </c>
      <c r="G15" s="11"/>
      <c r="H15" s="11"/>
      <c r="I15" s="11"/>
      <c r="J15" s="13" t="str">
        <f>IF(AND(ISNUMBER(C15),ISNUMBER(I15)),IF(I15&gt;0,C15/I15,""),"")</f>
        <v/>
      </c>
      <c r="K15" s="9"/>
    </row>
    <row r="16" ht="17" customHeight="1" spans="2:11" x14ac:dyDescent="0.25">
      <c r="B16" s="17">
        <f>DATE(2026,11,1)</f>
        <v>46327</v>
      </c>
      <c r="C16" s="18"/>
      <c r="D16" s="18"/>
      <c r="E16" s="13" t="str">
        <f>IF(ISNUMBER(C16),C16-D16,"")</f>
        <v/>
      </c>
      <c r="F16" s="14" t="str">
        <f>IF(AND(ISNUMBER(C16),C16&gt;0),(C16-D16)/C16,"")</f>
        <v/>
      </c>
      <c r="G16" s="11"/>
      <c r="H16" s="11"/>
      <c r="I16" s="11"/>
      <c r="J16" s="13" t="str">
        <f>IF(AND(ISNUMBER(C16),ISNUMBER(I16)),IF(I16&gt;0,C16/I16,""),"")</f>
        <v/>
      </c>
      <c r="K16" s="9"/>
    </row>
    <row r="17" ht="17" customHeight="1" spans="2:11" x14ac:dyDescent="0.25">
      <c r="B17" s="17">
        <f>DATE(2026,12,1)</f>
        <v>46357</v>
      </c>
      <c r="C17" s="18"/>
      <c r="D17" s="18"/>
      <c r="E17" s="13" t="str">
        <f>IF(ISNUMBER(C17),C17-D17,"")</f>
        <v/>
      </c>
      <c r="F17" s="14" t="str">
        <f>IF(AND(ISNUMBER(C17),C17&gt;0),(C17-D17)/C17,"")</f>
        <v/>
      </c>
      <c r="G17" s="11"/>
      <c r="H17" s="11"/>
      <c r="I17" s="11"/>
      <c r="J17" s="13" t="str">
        <f>IF(AND(ISNUMBER(C17),ISNUMBER(I17)),IF(I17&gt;0,C17/I17,""),"")</f>
        <v/>
      </c>
      <c r="K17" s="9"/>
    </row>
    <row r="18" ht="17" customHeight="1" spans="2:11" x14ac:dyDescent="0.25">
      <c r="B18" s="19"/>
      <c r="C18" s="18"/>
      <c r="D18" s="18"/>
      <c r="E18" s="18"/>
      <c r="F18" s="12"/>
      <c r="G18" s="11"/>
      <c r="H18" s="11"/>
      <c r="I18" s="11"/>
      <c r="J18" s="18"/>
      <c r="K18" s="9"/>
    </row>
    <row r="19" ht="17" customHeight="1" spans="2:11" x14ac:dyDescent="0.25">
      <c r="B19" s="19"/>
      <c r="C19" s="18"/>
      <c r="D19" s="18"/>
      <c r="E19" s="18"/>
      <c r="F19" s="12"/>
      <c r="G19" s="11"/>
      <c r="H19" s="11"/>
      <c r="I19" s="11"/>
      <c r="J19" s="18"/>
      <c r="K19" s="9"/>
    </row>
    <row r="20" ht="17" customHeight="1" spans="2:11" x14ac:dyDescent="0.25">
      <c r="B20" s="19"/>
      <c r="C20" s="18"/>
      <c r="D20" s="18"/>
      <c r="E20" s="18"/>
      <c r="F20" s="12"/>
      <c r="G20" s="11"/>
      <c r="H20" s="11"/>
      <c r="I20" s="11"/>
      <c r="J20" s="18"/>
      <c r="K20" s="9"/>
    </row>
    <row r="21" ht="17" customHeight="1" spans="2:11" x14ac:dyDescent="0.25">
      <c r="B21" s="19"/>
      <c r="C21" s="18"/>
      <c r="D21" s="18"/>
      <c r="E21" s="18"/>
      <c r="F21" s="12"/>
      <c r="G21" s="11"/>
      <c r="H21" s="11"/>
      <c r="I21" s="11"/>
      <c r="J21" s="18"/>
      <c r="K21" s="9"/>
    </row>
    <row r="22" ht="17" customHeight="1" spans="2:11" x14ac:dyDescent="0.25">
      <c r="B22" s="19"/>
      <c r="C22" s="18"/>
      <c r="D22" s="18"/>
      <c r="E22" s="18"/>
      <c r="F22" s="12"/>
      <c r="G22" s="11"/>
      <c r="H22" s="11"/>
      <c r="I22" s="11"/>
      <c r="J22" s="18"/>
      <c r="K22" s="9"/>
    </row>
    <row r="23" ht="17" customHeight="1" spans="2:11" x14ac:dyDescent="0.25">
      <c r="B23" s="19"/>
      <c r="C23" s="18"/>
      <c r="D23" s="18"/>
      <c r="E23" s="18"/>
      <c r="F23" s="12"/>
      <c r="G23" s="11"/>
      <c r="H23" s="11"/>
      <c r="I23" s="11"/>
      <c r="J23" s="18"/>
      <c r="K23" s="9"/>
    </row>
    <row r="24" ht="17" customHeight="1" spans="2:11" x14ac:dyDescent="0.25">
      <c r="B24" s="19"/>
      <c r="C24" s="18"/>
      <c r="D24" s="18"/>
      <c r="E24" s="18"/>
      <c r="F24" s="12"/>
      <c r="G24" s="11"/>
      <c r="H24" s="11"/>
      <c r="I24" s="11"/>
      <c r="J24" s="18"/>
      <c r="K24" s="9"/>
    </row>
    <row r="25" ht="17" customHeight="1" spans="2:11" x14ac:dyDescent="0.25">
      <c r="B25" s="19"/>
      <c r="C25" s="18"/>
      <c r="D25" s="18"/>
      <c r="E25" s="18"/>
      <c r="F25" s="12"/>
      <c r="G25" s="11"/>
      <c r="H25" s="11"/>
      <c r="I25" s="11"/>
      <c r="J25" s="18"/>
      <c r="K25" s="9"/>
    </row>
    <row r="26" ht="17" customHeight="1" spans="2:11" x14ac:dyDescent="0.25">
      <c r="B26" s="19"/>
      <c r="C26" s="18"/>
      <c r="D26" s="18"/>
      <c r="E26" s="18"/>
      <c r="F26" s="12"/>
      <c r="G26" s="11"/>
      <c r="H26" s="11"/>
      <c r="I26" s="11"/>
      <c r="J26" s="18"/>
      <c r="K26" s="9"/>
    </row>
    <row r="27" ht="17" customHeight="1" spans="2:11" x14ac:dyDescent="0.25">
      <c r="B27" s="19"/>
      <c r="C27" s="18"/>
      <c r="D27" s="18"/>
      <c r="E27" s="18"/>
      <c r="F27" s="12"/>
      <c r="G27" s="11"/>
      <c r="H27" s="11"/>
      <c r="I27" s="11"/>
      <c r="J27" s="18"/>
      <c r="K27" s="9"/>
    </row>
    <row r="28" ht="17" customHeight="1" spans="2:11" x14ac:dyDescent="0.25">
      <c r="B28" s="19"/>
      <c r="C28" s="18"/>
      <c r="D28" s="18"/>
      <c r="E28" s="18"/>
      <c r="F28" s="12"/>
      <c r="G28" s="11"/>
      <c r="H28" s="11"/>
      <c r="I28" s="11"/>
      <c r="J28" s="18"/>
      <c r="K28" s="9"/>
    </row>
    <row r="29" ht="17" customHeight="1" spans="2:11" x14ac:dyDescent="0.25">
      <c r="B29" s="19"/>
      <c r="C29" s="18"/>
      <c r="D29" s="18"/>
      <c r="E29" s="18"/>
      <c r="F29" s="12"/>
      <c r="G29" s="11"/>
      <c r="H29" s="11"/>
      <c r="I29" s="11"/>
      <c r="J29" s="18"/>
      <c r="K29" s="9"/>
    </row>
    <row r="30" ht="17" customHeight="1" spans="2:11" x14ac:dyDescent="0.25">
      <c r="B30" s="19"/>
      <c r="C30" s="18"/>
      <c r="D30" s="18"/>
      <c r="E30" s="18"/>
      <c r="F30" s="12"/>
      <c r="G30" s="11"/>
      <c r="H30" s="11"/>
      <c r="I30" s="11"/>
      <c r="J30" s="18"/>
      <c r="K30" s="9"/>
    </row>
  </sheetData>
  <mergeCells count="3">
    <mergeCell ref="I1:K1"/>
    <mergeCell ref="B2:H2"/>
    <mergeCell ref="I2:K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G13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3" width="14" customWidth="1"/>
    <col min="4" max="4" width="16" customWidth="1"/>
    <col min="5" max="6" width="14" customWidth="1"/>
    <col min="7" max="7" width="15" customWidth="1"/>
  </cols>
  <sheetData>
    <row r="1" ht="34" customHeight="1" spans="2:7" x14ac:dyDescent="0.25">
      <c r="B1" s="1" t="s">
        <v>34</v>
      </c>
      <c r="E1" s="2" t="s">
        <v>1</v>
      </c>
      <c r="F1" s="2"/>
      <c r="G1" s="2"/>
    </row>
    <row r="2" ht="28" customHeight="1" spans="2:7" x14ac:dyDescent="0.25">
      <c r="B2" s="3" t="s">
        <v>35</v>
      </c>
      <c r="C2" s="3"/>
      <c r="D2" s="3"/>
      <c r="E2" s="4" t="s">
        <v>3</v>
      </c>
      <c r="F2" s="4"/>
      <c r="G2" s="4"/>
    </row>
    <row r="3" ht="4" customHeight="1" spans="2:7" x14ac:dyDescent="0.25">
      <c r="B3" s="5"/>
      <c r="C3" s="5"/>
      <c r="D3" s="5"/>
      <c r="E3" s="5"/>
      <c r="F3" s="5"/>
      <c r="G3" s="5"/>
    </row>
    <row r="4" ht="10" customHeight="1" x14ac:dyDescent="0.25"/>
    <row r="5" ht="30" customHeight="1" spans="2:7" x14ac:dyDescent="0.25">
      <c r="B5" s="6" t="s">
        <v>4</v>
      </c>
      <c r="C5" s="7" t="s">
        <v>36</v>
      </c>
      <c r="D5" s="8" t="s">
        <v>37</v>
      </c>
      <c r="E5" s="8" t="s">
        <v>38</v>
      </c>
      <c r="F5" s="7" t="s">
        <v>39</v>
      </c>
      <c r="G5" s="8" t="s">
        <v>40</v>
      </c>
    </row>
    <row r="6" ht="17" customHeight="1" spans="2:7" x14ac:dyDescent="0.25">
      <c r="B6" s="20" t="s">
        <v>14</v>
      </c>
      <c r="C6" s="13">
        <f>SUM('Monthly Data'!C6:C17)</f>
        <v>193400</v>
      </c>
      <c r="D6" s="13">
        <f>IF(COUNT('Monthly Data'!C6:C17)=0,"",SUM('Monthly Data'!C6:C17)/COUNT('Monthly Data'!C6:C17))</f>
        <v>21488.88888888889</v>
      </c>
      <c r="E6" s="13">
        <f>MAX('Monthly Data'!C6:C17)</f>
        <v>24800</v>
      </c>
      <c r="F6" s="13">
        <f>MIN('Monthly Data'!C6:C17)</f>
        <v>17200</v>
      </c>
      <c r="G6" s="16">
        <f>COUNT('Monthly Data'!C6:C17)</f>
        <v>9</v>
      </c>
    </row>
    <row r="7" ht="17" customHeight="1" spans="2:7" x14ac:dyDescent="0.25">
      <c r="B7" s="20" t="s">
        <v>16</v>
      </c>
      <c r="C7" s="13">
        <f>SUM('Monthly Data'!D6:D17)</f>
        <v>142800</v>
      </c>
      <c r="D7" s="13">
        <f>IF(COUNT('Monthly Data'!D6:D17)=0,"",SUM('Monthly Data'!D6:D17)/COUNT('Monthly Data'!D6:D17))</f>
        <v>15866.666666666666</v>
      </c>
      <c r="E7" s="13">
        <f>MAX('Monthly Data'!D6:D17)</f>
        <v>17900</v>
      </c>
      <c r="F7" s="13">
        <f>MIN('Monthly Data'!D6:D17)</f>
        <v>13600</v>
      </c>
      <c r="G7" s="16">
        <f>COUNT('Monthly Data'!D6:D17)</f>
        <v>9</v>
      </c>
    </row>
    <row r="8" ht="17" customHeight="1" spans="2:7" x14ac:dyDescent="0.25">
      <c r="B8" s="20" t="s">
        <v>18</v>
      </c>
      <c r="C8" s="13">
        <f>SUM('Monthly Data'!E6:E17)</f>
        <v>50600</v>
      </c>
      <c r="D8" s="13">
        <f>IF(COUNT('Monthly Data'!E6:E17)=0,"",SUM('Monthly Data'!E6:E17)/COUNT('Monthly Data'!E6:E17))</f>
        <v>5622.222222222223</v>
      </c>
      <c r="E8" s="13">
        <f>MAX('Monthly Data'!E6:E17)</f>
        <v>7200</v>
      </c>
      <c r="F8" s="13">
        <f>MIN('Monthly Data'!E6:E17)</f>
        <v>3600</v>
      </c>
      <c r="G8" s="16">
        <f>COUNT('Monthly Data'!E6:E17)</f>
        <v>9</v>
      </c>
    </row>
    <row r="9" ht="17" customHeight="1" spans="2:7" x14ac:dyDescent="0.25">
      <c r="B9" s="20" t="s">
        <v>19</v>
      </c>
      <c r="C9" s="14">
        <f>IF(N(C6)=0,"",C8/C6)</f>
        <v>0.26163391933815927</v>
      </c>
      <c r="D9" s="14">
        <f>IF(COUNT('Monthly Data'!F6:F17)=0,"",SUM('Monthly Data'!F6:F17)/COUNT('Monthly Data'!F6:F17))</f>
        <v>0.2591437915700945</v>
      </c>
      <c r="E9" s="14">
        <f>MAX('Monthly Data'!F6:F17)</f>
        <v>0.2903225806451613</v>
      </c>
      <c r="F9" s="14">
        <f>MIN('Monthly Data'!F6:F17)</f>
        <v>0.20930232558139536</v>
      </c>
      <c r="G9" s="16">
        <f>COUNT('Monthly Data'!F6:F17)</f>
        <v>9</v>
      </c>
    </row>
    <row r="10" ht="17" customHeight="1" spans="2:7" x14ac:dyDescent="0.25">
      <c r="B10" s="20" t="s">
        <v>20</v>
      </c>
      <c r="C10" s="11"/>
      <c r="D10" s="16">
        <f>IF(COUNT('Monthly Data'!G6:G17)=0,"",SUM('Monthly Data'!G6:G17)/COUNT('Monthly Data'!G6:G17))</f>
        <v>356.1111111111111</v>
      </c>
      <c r="E10" s="16">
        <f>MAX('Monthly Data'!G6:G17)</f>
        <v>401</v>
      </c>
      <c r="F10" s="16">
        <f>MIN('Monthly Data'!G6:G17)</f>
        <v>298</v>
      </c>
      <c r="G10" s="16">
        <f>COUNT('Monthly Data'!G6:G17)</f>
        <v>9</v>
      </c>
    </row>
    <row r="11" ht="17" customHeight="1" spans="2:7" x14ac:dyDescent="0.25">
      <c r="B11" s="20" t="s">
        <v>21</v>
      </c>
      <c r="C11" s="16">
        <f>SUM('Monthly Data'!H6:H17)</f>
        <v>528</v>
      </c>
      <c r="D11" s="16">
        <f>IF(COUNT('Monthly Data'!H6:H17)=0,"",SUM('Monthly Data'!H6:H17)/COUNT('Monthly Data'!H6:H17))</f>
        <v>58.666666666666664</v>
      </c>
      <c r="E11" s="16">
        <f>MAX('Monthly Data'!H6:H17)</f>
        <v>72</v>
      </c>
      <c r="F11" s="16">
        <f>MIN('Monthly Data'!H6:H17)</f>
        <v>41</v>
      </c>
      <c r="G11" s="16">
        <f>COUNT('Monthly Data'!H6:H17)</f>
        <v>9</v>
      </c>
    </row>
    <row r="12" ht="17" customHeight="1" spans="2:7" x14ac:dyDescent="0.25">
      <c r="B12" s="20" t="s">
        <v>22</v>
      </c>
      <c r="C12" s="16">
        <f>SUM('Monthly Data'!I6:I17)</f>
        <v>4201</v>
      </c>
      <c r="D12" s="16">
        <f>IF(COUNT('Monthly Data'!I6:I17)=0,"",SUM('Monthly Data'!I6:I17)/COUNT('Monthly Data'!I6:I17))</f>
        <v>466.77777777777777</v>
      </c>
      <c r="E12" s="16">
        <f>MAX('Monthly Data'!I6:I17)</f>
        <v>529</v>
      </c>
      <c r="F12" s="16">
        <f>MIN('Monthly Data'!I6:I17)</f>
        <v>381</v>
      </c>
      <c r="G12" s="16">
        <f>COUNT('Monthly Data'!I6:I17)</f>
        <v>9</v>
      </c>
    </row>
    <row r="13" ht="17" customHeight="1" spans="2:7" x14ac:dyDescent="0.25">
      <c r="B13" s="20" t="s">
        <v>23</v>
      </c>
      <c r="C13" s="13">
        <f>IF(N(C12)=0,"",C6/C12)</f>
        <v>46.03665793858605</v>
      </c>
      <c r="D13" s="13">
        <f>IF(COUNT('Monthly Data'!J6:J17)=0,"",SUM('Monthly Data'!J6:J17)/COUNT('Monthly Data'!J6:J17))</f>
        <v>45.98028749705034</v>
      </c>
      <c r="E13" s="13">
        <f>MAX('Monthly Data'!J6:J17)</f>
        <v>46.880907372400756</v>
      </c>
      <c r="F13" s="13">
        <f>MIN('Monthly Data'!J6:J17)</f>
        <v>45.14435695538058</v>
      </c>
      <c r="G13" s="16">
        <f>COUNT('Monthly Data'!J6:J17)</f>
        <v>9</v>
      </c>
    </row>
  </sheetData>
  <mergeCells count="3">
    <mergeCell ref="E1:G1"/>
    <mergeCell ref="B2:D2"/>
    <mergeCell ref="E2:G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Monthly Data</vt:lpstr>
      <vt:lpstr>Year to Date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KPI Dashboard</dc:title>
  <dc:subject/>
  <dc:description/>
  <cp:keywords/>
  <cp:category/>
  <cp:lastModifiedBy>Unknown</cp:lastModifiedBy>
  <dcterms:created xsi:type="dcterms:W3CDTF">2026-10-19T11:58:18Z</dcterms:created>
  <dcterms:modified xsi:type="dcterms:W3CDTF">2026-10-19T11:58:18Z</dcterms:modified>
</cp:coreProperties>
</file>