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Invoice Log" state="visible" r:id="rId5"/>
    <sheet sheetId="3" name="Clients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<sst xmlns="http://schemas.openxmlformats.org/spreadsheetml/2006/main" count="109" uniqueCount="83">
  <si>
    <t>INVOICE</t>
  </si>
  <si>
    <t/>
  </si>
  <si>
    <t>Maple Street Design Co.</t>
  </si>
  <si>
    <t>Invoice no.</t>
  </si>
  <si>
    <t>INV-1042</t>
  </si>
  <si>
    <t>48 Maple Street, Portland, ME 04101</t>
  </si>
  <si>
    <t>Invoice date</t>
  </si>
  <si>
    <t>(207) 555-0148  |  billing@maplestreetdesign.com</t>
  </si>
  <si>
    <t>Terms (days)</t>
  </si>
  <si>
    <t>Due date</t>
  </si>
  <si>
    <t>Bill to</t>
  </si>
  <si>
    <t>Balance due</t>
  </si>
  <si>
    <t>Harbor Light Bakery</t>
  </si>
  <si>
    <t>Description</t>
  </si>
  <si>
    <t>Qty</t>
  </si>
  <si>
    <t>Rate</t>
  </si>
  <si>
    <t>Amount</t>
  </si>
  <si>
    <t>Menu board design, 3 boards</t>
  </si>
  <si>
    <t>Bakery box label design</t>
  </si>
  <si>
    <t>Label printing, rolls of 500</t>
  </si>
  <si>
    <t>Extra revision rounds (hours)</t>
  </si>
  <si>
    <t>Delivery to shop</t>
  </si>
  <si>
    <t>Subtotal</t>
  </si>
  <si>
    <t>Discount</t>
  </si>
  <si>
    <t>Tax rate</t>
  </si>
  <si>
    <t>Tax</t>
  </si>
  <si>
    <t>Total</t>
  </si>
  <si>
    <t>Paid so far</t>
  </si>
  <si>
    <t>How to pay: Zelle or bank transfer to billing@maplestreetdesign.com, or mail a check payable to Maple Street Design Co.</t>
  </si>
  <si>
    <t>Please put the invoice number on your payment. Thank you for your business!</t>
  </si>
  <si>
    <t>Client</t>
  </si>
  <si>
    <t>Paid</t>
  </si>
  <si>
    <t>Date paid</t>
  </si>
  <si>
    <t>Balance</t>
  </si>
  <si>
    <t>Status</t>
  </si>
  <si>
    <t>Days overdue</t>
  </si>
  <si>
    <t>Days to pay</t>
  </si>
  <si>
    <t>INV-1031</t>
  </si>
  <si>
    <t>INV-1032</t>
  </si>
  <si>
    <t>Casco Bay Dental</t>
  </si>
  <si>
    <t>INV-1033</t>
  </si>
  <si>
    <t>Pine and Pine Realty</t>
  </si>
  <si>
    <t>INV-1034</t>
  </si>
  <si>
    <t>Northline Brewing</t>
  </si>
  <si>
    <t>INV-1035</t>
  </si>
  <si>
    <t>INV-1036</t>
  </si>
  <si>
    <t>INV-1037</t>
  </si>
  <si>
    <t>Seaside Yoga Studio</t>
  </si>
  <si>
    <t>INV-1038</t>
  </si>
  <si>
    <t>INV-1039</t>
  </si>
  <si>
    <t>INV-1040</t>
  </si>
  <si>
    <t>INV-1041</t>
  </si>
  <si>
    <t>Contact</t>
  </si>
  <si>
    <t>Billing address</t>
  </si>
  <si>
    <t>Email</t>
  </si>
  <si>
    <t>Invoiced</t>
  </si>
  <si>
    <t>Outstanding</t>
  </si>
  <si>
    <t>Overdue</t>
  </si>
  <si>
    <t>Dana Ruiz</t>
  </si>
  <si>
    <t>210 Commercial St, Portland, ME 04101</t>
  </si>
  <si>
    <t>dana@harborlightbakery.com</t>
  </si>
  <si>
    <t>Dr. Alan Choi</t>
  </si>
  <si>
    <t>95 Exchange St, Portland, ME 04101</t>
  </si>
  <si>
    <t>office@cascobaydental.com</t>
  </si>
  <si>
    <t>Megan Pine</t>
  </si>
  <si>
    <t>12 Main St, Yarmouth, ME 04096</t>
  </si>
  <si>
    <t>megan@pineandpine.com</t>
  </si>
  <si>
    <t>Chris Okafor</t>
  </si>
  <si>
    <t>400 Fore St, Portland, ME 04101</t>
  </si>
  <si>
    <t>chris@northlinebrewing.com</t>
  </si>
  <si>
    <t>Lena Morris</t>
  </si>
  <si>
    <t>7 Ocean Ave, Kennebunk, ME 04043</t>
  </si>
  <si>
    <t>hello@seasideyoga.com</t>
  </si>
  <si>
    <t>Item</t>
  </si>
  <si>
    <t>Today's date</t>
  </si>
  <si>
    <t>Invoices sent</t>
  </si>
  <si>
    <t>Total invoiced</t>
  </si>
  <si>
    <t>Total paid</t>
  </si>
  <si>
    <t>Still owed to you</t>
  </si>
  <si>
    <t>Overdue invoices</t>
  </si>
  <si>
    <t>Most days overdue</t>
  </si>
  <si>
    <t>Coming due in the next 14 days</t>
  </si>
  <si>
    <t>Average days to get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</si>
</sst>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&quot;$&quot;#,##0.00"/>
    <numFmt numFmtId="166" formatCode="mmm d, yyyy"/>
    <numFmt numFmtId="167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8" customWidth="1"/>
    <col min="3" max="3" width="14" customWidth="1"/>
    <col min="4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1</v>
      </c>
      <c r="D1" s="1" t="s">
        <v>1</v>
      </c>
    </row>
    <row r="2" spans="1:4" x14ac:dyDescent="0.25">
      <c r="A2" t="s">
        <v>2</v>
      </c>
      <c r="B2" s="2"/>
      <c r="C2" s="3" t="s">
        <v>3</v>
      </c>
      <c r="D2" s="3" t="s">
        <v>4</v>
      </c>
    </row>
    <row r="3" spans="1:4" x14ac:dyDescent="0.25">
      <c r="A3" t="s">
        <v>5</v>
      </c>
      <c r="B3" s="2"/>
      <c r="C3" s="3" t="s">
        <v>6</v>
      </c>
      <c r="D3" s="4">
        <f>DATE(2026,10,15)</f>
        <v>46310</v>
      </c>
    </row>
    <row r="4" spans="1:4" x14ac:dyDescent="0.25">
      <c r="A4" t="s">
        <v>7</v>
      </c>
      <c r="B4" s="2"/>
      <c r="C4" s="3" t="s">
        <v>8</v>
      </c>
      <c r="D4" s="2">
        <f>IFERROR(VLOOKUP(A8,Clients!$A$2:$E$50,5,FALSE),30)</f>
        <v>30</v>
      </c>
    </row>
    <row r="5" spans="1:4" x14ac:dyDescent="0.25">
      <c r="B5" s="2"/>
      <c r="C5" s="3" t="s">
        <v>9</v>
      </c>
      <c r="D5" s="4">
        <f>D3+D4</f>
        <v>46340</v>
      </c>
    </row>
    <row r="6" spans="1:4" x14ac:dyDescent="0.25">
      <c r="B6" s="2"/>
      <c r="C6" s="3"/>
      <c r="D6" s="3"/>
    </row>
    <row r="7" spans="1:4" x14ac:dyDescent="0.25">
      <c r="A7" t="s">
        <v>10</v>
      </c>
      <c r="B7" s="2"/>
      <c r="C7" s="3" t="s">
        <v>11</v>
      </c>
      <c r="D7" s="3">
        <f>D29</f>
        <v>866</v>
      </c>
    </row>
    <row r="8" spans="1:4" x14ac:dyDescent="0.25">
      <c r="A8" t="s">
        <v>12</v>
      </c>
      <c r="B8" s="2"/>
      <c r="C8" s="3"/>
      <c r="D8" s="3"/>
    </row>
    <row r="9" spans="1:4" x14ac:dyDescent="0.25">
      <c r="A9" t="str">
        <f>IFERROR("Attn: "&amp;VLOOKUP(A8,Clients!$A$2:$E$50,2,FALSE),"")</f>
        <v>Attn: Dana Ruiz</v>
      </c>
      <c r="B9" s="2"/>
      <c r="C9" s="3"/>
      <c r="D9" s="3"/>
    </row>
    <row r="10" spans="1:4" x14ac:dyDescent="0.25">
      <c r="A10" t="str">
        <f>IFERROR(VLOOKUP(A8,Clients!$A$2:$E$50,3,FALSE),"")</f>
        <v>210 Commercial St, Portland, ME 04101</v>
      </c>
      <c r="B10" s="2"/>
      <c r="C10" s="3"/>
      <c r="D10" s="3"/>
    </row>
    <row r="11" spans="1:4" x14ac:dyDescent="0.25">
      <c r="A11" t="str">
        <f>IFERROR(VLOOKUP(A8,Clients!$A$2:$E$50,4,FALSE),"")</f>
        <v>dana@harborlightbakery.com</v>
      </c>
      <c r="B11" s="2"/>
      <c r="C11" s="3"/>
      <c r="D11" s="3"/>
    </row>
    <row r="12" spans="1:4" x14ac:dyDescent="0.25">
      <c r="B12" s="2"/>
      <c r="C12" s="3"/>
      <c r="D12" s="3"/>
    </row>
    <row r="13" spans="1:4" x14ac:dyDescent="0.25">
      <c r="A13" t="s">
        <v>13</v>
      </c>
      <c r="B13" s="2" t="s">
        <v>14</v>
      </c>
      <c r="C13" s="3" t="s">
        <v>15</v>
      </c>
      <c r="D13" s="3" t="s">
        <v>16</v>
      </c>
    </row>
    <row r="14" spans="1:4" x14ac:dyDescent="0.25">
      <c r="A14" t="s">
        <v>17</v>
      </c>
      <c r="B14" s="2">
        <v>1</v>
      </c>
      <c r="C14" s="3">
        <v>450</v>
      </c>
      <c r="D14" s="3">
        <f>IF(OR(ISBLANK(B14),ISBLANK(C14)),"",ROUND(B14*C14,2))</f>
        <v>450</v>
      </c>
    </row>
    <row r="15" spans="1:4" x14ac:dyDescent="0.25">
      <c r="A15" t="s">
        <v>18</v>
      </c>
      <c r="B15" s="2">
        <v>1</v>
      </c>
      <c r="C15" s="3">
        <v>300</v>
      </c>
      <c r="D15" s="3">
        <f>IF(OR(ISBLANK(B15),ISBLANK(C15)),"",ROUND(B15*C15,2))</f>
        <v>300</v>
      </c>
    </row>
    <row r="16" spans="1:4" x14ac:dyDescent="0.25">
      <c r="A16" t="s">
        <v>19</v>
      </c>
      <c r="B16" s="2">
        <v>2</v>
      </c>
      <c r="C16" s="3">
        <v>92.5</v>
      </c>
      <c r="D16" s="3">
        <f>IF(OR(ISBLANK(B16),ISBLANK(C16)),"",ROUND(B16*C16,2))</f>
        <v>185</v>
      </c>
    </row>
    <row r="17" spans="1:4" x14ac:dyDescent="0.25">
      <c r="A17" t="s">
        <v>20</v>
      </c>
      <c r="B17" s="2">
        <v>3</v>
      </c>
      <c r="C17" s="3">
        <v>65</v>
      </c>
      <c r="D17" s="3">
        <f>IF(OR(ISBLANK(B17),ISBLANK(C17)),"",ROUND(B17*C17,2))</f>
        <v>195</v>
      </c>
    </row>
    <row r="18" spans="1:4" x14ac:dyDescent="0.25">
      <c r="A18" t="s">
        <v>21</v>
      </c>
      <c r="B18" s="2">
        <v>1</v>
      </c>
      <c r="C18" s="3">
        <v>25</v>
      </c>
      <c r="D18" s="3">
        <f>IF(OR(ISBLANK(B18),ISBLANK(C18)),"",ROUND(B18*C18,2))</f>
        <v>25</v>
      </c>
    </row>
    <row r="19" spans="1:4" x14ac:dyDescent="0.25">
      <c r="B19" s="2"/>
      <c r="C19" s="3"/>
      <c r="D19" s="3" t="str">
        <f>IF(OR(ISBLANK(B19),ISBLANK(C19)),"",ROUND(B19*C19,2))</f>
        <v/>
      </c>
    </row>
    <row r="20" spans="1:4" x14ac:dyDescent="0.25">
      <c r="B20" s="2"/>
      <c r="C20" s="3"/>
      <c r="D20" s="3" t="str">
        <f>IF(OR(ISBLANK(B20),ISBLANK(C20)),"",ROUND(B20*C20,2))</f>
        <v/>
      </c>
    </row>
    <row r="21" spans="1:4" x14ac:dyDescent="0.25">
      <c r="B21" s="2"/>
      <c r="C21" s="3"/>
      <c r="D21" s="3" t="str">
        <f>IF(OR(ISBLANK(B21),ISBLANK(C21)),"",ROUND(B21*C21,2))</f>
        <v/>
      </c>
    </row>
    <row r="22" spans="1:4" x14ac:dyDescent="0.25">
      <c r="B22" s="2"/>
      <c r="C22" s="3"/>
      <c r="D22" s="3"/>
    </row>
    <row r="23" spans="1:4" x14ac:dyDescent="0.25">
      <c r="B23" s="2"/>
      <c r="C23" s="3" t="s">
        <v>22</v>
      </c>
      <c r="D23" s="3">
        <f>SUM(D14:D21)</f>
        <v>1155</v>
      </c>
    </row>
    <row r="24" spans="1:4" x14ac:dyDescent="0.25">
      <c r="B24" s="2"/>
      <c r="C24" s="3" t="s">
        <v>23</v>
      </c>
      <c r="D24" s="3">
        <v>55</v>
      </c>
    </row>
    <row r="25" spans="1:4" x14ac:dyDescent="0.25">
      <c r="B25" s="2"/>
      <c r="C25" s="3" t="s">
        <v>24</v>
      </c>
      <c r="D25" s="5">
        <f>0.06</f>
        <v>0.06</v>
      </c>
    </row>
    <row r="26" spans="1:4" x14ac:dyDescent="0.25">
      <c r="B26" s="2"/>
      <c r="C26" s="3" t="s">
        <v>25</v>
      </c>
      <c r="D26" s="3">
        <f>ROUND((D23-D24)*D25,2)</f>
        <v>66</v>
      </c>
    </row>
    <row r="27" spans="1:4" x14ac:dyDescent="0.25">
      <c r="B27" s="2"/>
      <c r="C27" s="3" t="s">
        <v>26</v>
      </c>
      <c r="D27" s="3">
        <f>D23-D24+D26</f>
        <v>1166</v>
      </c>
    </row>
    <row r="28" spans="1:4" x14ac:dyDescent="0.25">
      <c r="B28" s="2"/>
      <c r="C28" s="3" t="s">
        <v>27</v>
      </c>
      <c r="D28" s="3">
        <v>300</v>
      </c>
    </row>
    <row r="29" spans="1:4" x14ac:dyDescent="0.25">
      <c r="B29" s="2"/>
      <c r="C29" s="3" t="s">
        <v>11</v>
      </c>
      <c r="D29" s="3">
        <f>D27-D28</f>
        <v>866</v>
      </c>
    </row>
    <row r="30" spans="1:4" x14ac:dyDescent="0.25">
      <c r="B30" s="2"/>
      <c r="C30" s="3"/>
      <c r="D30" s="3"/>
    </row>
    <row r="31" spans="1:4" x14ac:dyDescent="0.25">
      <c r="A31" t="s">
        <v>28</v>
      </c>
      <c r="B31" s="2"/>
      <c r="C31" s="3"/>
      <c r="D31" s="3"/>
    </row>
    <row r="32" spans="1:4" x14ac:dyDescent="0.25">
      <c r="A32" t="s">
        <v>29</v>
      </c>
      <c r="B32" s="2"/>
      <c r="C32" s="3"/>
      <c r="D32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K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4" width="13" customWidth="1"/>
    <col min="5" max="6" width="12" customWidth="1"/>
    <col min="7" max="7" width="13" customWidth="1"/>
    <col min="8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3</v>
      </c>
      <c r="B1" s="1" t="s">
        <v>30</v>
      </c>
      <c r="C1" s="1" t="s">
        <v>6</v>
      </c>
      <c r="D1" s="1" t="s">
        <v>9</v>
      </c>
      <c r="E1" s="1" t="s">
        <v>16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</row>
    <row r="2" spans="1:11" x14ac:dyDescent="0.25">
      <c r="A2" t="s">
        <v>37</v>
      </c>
      <c r="B2" t="s">
        <v>12</v>
      </c>
      <c r="C2" s="4">
        <v>46211</v>
      </c>
      <c r="D2" s="4">
        <f>IF(ISBLANK(C2),"",C2+IFERROR(VLOOKUP(B2,Clients!$A$2:$E$50,5,FALSE),30))</f>
        <v>46241</v>
      </c>
      <c r="E2" s="3">
        <v>820</v>
      </c>
      <c r="F2" s="3">
        <v>820</v>
      </c>
      <c r="G2" s="4">
        <v>46236</v>
      </c>
      <c r="H2" s="3">
        <f>IF(ISBLANK(E2),"",E2-F2)</f>
        <v>0</v>
      </c>
      <c r="I2" t="str">
        <f>IF(ISBLANK(E2),"",IF(H2&lt;=0,"Paid",IF(Summary!$B$2&gt;D2,"Overdue",IF(F2&gt;0,"Partly paid","Unpaid"))))</f>
        <v>Paid</v>
      </c>
      <c r="J2" s="2">
        <f>IF(ISBLANK(E2),"",IF(AND(H2&gt;0,Summary!$B$2&gt;D2),Summary!$B$2-D2,0))</f>
        <v>0</v>
      </c>
      <c r="K2" s="2">
        <f>IF(AND(ISNUMBER(H2),ISNUMBER(G2)),IF(H2&lt;=0,G2-C2,""),"")</f>
        <v>25</v>
      </c>
    </row>
    <row r="3" spans="1:11" x14ac:dyDescent="0.25">
      <c r="A3" t="s">
        <v>38</v>
      </c>
      <c r="B3" t="s">
        <v>39</v>
      </c>
      <c r="C3" s="4">
        <v>46218</v>
      </c>
      <c r="D3" s="4">
        <f>IF(ISBLANK(C3),"",C3+IFERROR(VLOOKUP(B3,Clients!$A$2:$E$50,5,FALSE),30))</f>
        <v>46233</v>
      </c>
      <c r="E3" s="3">
        <v>1450</v>
      </c>
      <c r="F3" s="3">
        <v>1450</v>
      </c>
      <c r="G3" s="4">
        <v>46232</v>
      </c>
      <c r="H3" s="3">
        <f>IF(ISBLANK(E3),"",E3-F3)</f>
        <v>0</v>
      </c>
      <c r="I3" t="str">
        <f>IF(ISBLANK(E3),"",IF(H3&lt;=0,"Paid",IF(Summary!$B$2&gt;D3,"Overdue",IF(F3&gt;0,"Partly paid","Unpaid"))))</f>
        <v>Paid</v>
      </c>
      <c r="J3" s="2">
        <f>IF(ISBLANK(E3),"",IF(AND(H3&gt;0,Summary!$B$2&gt;D3),Summary!$B$2-D3,0))</f>
        <v>0</v>
      </c>
      <c r="K3" s="2">
        <f>IF(AND(ISNUMBER(H3),ISNUMBER(G3)),IF(H3&lt;=0,G3-C3,""),"")</f>
        <v>14</v>
      </c>
    </row>
    <row r="4" spans="1:11" x14ac:dyDescent="0.25">
      <c r="A4" t="s">
        <v>40</v>
      </c>
      <c r="B4" t="s">
        <v>41</v>
      </c>
      <c r="C4" s="4">
        <v>46225</v>
      </c>
      <c r="D4" s="4">
        <f>IF(ISBLANK(C4),"",C4+IFERROR(VLOOKUP(B4,Clients!$A$2:$E$50,5,FALSE),30))</f>
        <v>46255</v>
      </c>
      <c r="E4" s="3">
        <v>600</v>
      </c>
      <c r="F4" s="3">
        <v>600</v>
      </c>
      <c r="G4" s="4">
        <v>46259</v>
      </c>
      <c r="H4" s="3">
        <f>IF(ISBLANK(E4),"",E4-F4)</f>
        <v>0</v>
      </c>
      <c r="I4" t="str">
        <f>IF(ISBLANK(E4),"",IF(H4&lt;=0,"Paid",IF(Summary!$B$2&gt;D4,"Overdue",IF(F4&gt;0,"Partly paid","Unpaid"))))</f>
        <v>Paid</v>
      </c>
      <c r="J4" s="2">
        <f>IF(ISBLANK(E4),"",IF(AND(H4&gt;0,Summary!$B$2&gt;D4),Summary!$B$2-D4,0))</f>
        <v>0</v>
      </c>
      <c r="K4" s="2">
        <f>IF(AND(ISNUMBER(H4),ISNUMBER(G4)),IF(H4&lt;=0,G4-C4,""),"")</f>
        <v>34</v>
      </c>
    </row>
    <row r="5" spans="1:11" x14ac:dyDescent="0.25">
      <c r="A5" t="s">
        <v>42</v>
      </c>
      <c r="B5" t="s">
        <v>43</v>
      </c>
      <c r="C5" s="4">
        <v>46239</v>
      </c>
      <c r="D5" s="4">
        <f>IF(ISBLANK(C5),"",C5+IFERROR(VLOOKUP(B5,Clients!$A$2:$E$50,5,FALSE),30))</f>
        <v>46269</v>
      </c>
      <c r="E5" s="3">
        <v>2250</v>
      </c>
      <c r="F5" s="3">
        <v>1000</v>
      </c>
      <c r="G5" s="4">
        <v>46275</v>
      </c>
      <c r="H5" s="3">
        <f>IF(ISBLANK(E5),"",E5-F5)</f>
        <v>1250</v>
      </c>
      <c r="I5" t="str">
        <f>IF(ISBLANK(E5),"",IF(H5&lt;=0,"Paid",IF(Summary!$B$2&gt;D5,"Overdue",IF(F5&gt;0,"Partly paid","Unpaid"))))</f>
        <v>Overdue</v>
      </c>
      <c r="J5" s="2">
        <f>IF(ISBLANK(E5),"",IF(AND(H5&gt;0,Summary!$B$2&gt;D5),Summary!$B$2-D5,0))</f>
        <v>44</v>
      </c>
      <c r="K5" s="2" t="str">
        <f>IF(AND(ISNUMBER(H5),ISNUMBER(G5)),IF(H5&lt;=0,G5-C5,""),"")</f>
        <v/>
      </c>
    </row>
    <row r="6" spans="1:11" x14ac:dyDescent="0.25">
      <c r="A6" t="s">
        <v>44</v>
      </c>
      <c r="B6" t="s">
        <v>12</v>
      </c>
      <c r="C6" s="4">
        <v>46246</v>
      </c>
      <c r="D6" s="4">
        <f>IF(ISBLANK(C6),"",C6+IFERROR(VLOOKUP(B6,Clients!$A$2:$E$50,5,FALSE),30))</f>
        <v>46276</v>
      </c>
      <c r="E6" s="3">
        <v>375</v>
      </c>
      <c r="F6" s="3">
        <v>375</v>
      </c>
      <c r="G6" s="4">
        <v>46273</v>
      </c>
      <c r="H6" s="3">
        <f>IF(ISBLANK(E6),"",E6-F6)</f>
        <v>0</v>
      </c>
      <c r="I6" t="str">
        <f>IF(ISBLANK(E6),"",IF(H6&lt;=0,"Paid",IF(Summary!$B$2&gt;D6,"Overdue",IF(F6&gt;0,"Partly paid","Unpaid"))))</f>
        <v>Paid</v>
      </c>
      <c r="J6" s="2">
        <f>IF(ISBLANK(E6),"",IF(AND(H6&gt;0,Summary!$B$2&gt;D6),Summary!$B$2-D6,0))</f>
        <v>0</v>
      </c>
      <c r="K6" s="2">
        <f>IF(AND(ISNUMBER(H6),ISNUMBER(G6)),IF(H6&lt;=0,G6-C6,""),"")</f>
        <v>27</v>
      </c>
    </row>
    <row r="7" spans="1:11" x14ac:dyDescent="0.25">
      <c r="A7" t="s">
        <v>45</v>
      </c>
      <c r="B7" t="s">
        <v>39</v>
      </c>
      <c r="C7" s="4">
        <v>46260</v>
      </c>
      <c r="D7" s="4">
        <f>IF(ISBLANK(C7),"",C7+IFERROR(VLOOKUP(B7,Clients!$A$2:$E$50,5,FALSE),30))</f>
        <v>46275</v>
      </c>
      <c r="E7" s="3">
        <v>980</v>
      </c>
      <c r="F7" s="3">
        <v>980</v>
      </c>
      <c r="G7" s="4">
        <v>46277</v>
      </c>
      <c r="H7" s="3">
        <f>IF(ISBLANK(E7),"",E7-F7)</f>
        <v>0</v>
      </c>
      <c r="I7" t="str">
        <f>IF(ISBLANK(E7),"",IF(H7&lt;=0,"Paid",IF(Summary!$B$2&gt;D7,"Overdue",IF(F7&gt;0,"Partly paid","Unpaid"))))</f>
        <v>Paid</v>
      </c>
      <c r="J7" s="2">
        <f>IF(ISBLANK(E7),"",IF(AND(H7&gt;0,Summary!$B$2&gt;D7),Summary!$B$2-D7,0))</f>
        <v>0</v>
      </c>
      <c r="K7" s="2">
        <f>IF(AND(ISNUMBER(H7),ISNUMBER(G7)),IF(H7&lt;=0,G7-C7,""),"")</f>
        <v>17</v>
      </c>
    </row>
    <row r="8" spans="1:11" x14ac:dyDescent="0.25">
      <c r="A8" t="s">
        <v>46</v>
      </c>
      <c r="B8" t="s">
        <v>47</v>
      </c>
      <c r="C8" s="4">
        <v>46267</v>
      </c>
      <c r="D8" s="4">
        <f>IF(ISBLANK(C8),"",C8+IFERROR(VLOOKUP(B8,Clients!$A$2:$E$50,5,FALSE),30))</f>
        <v>46281</v>
      </c>
      <c r="E8" s="3">
        <v>540</v>
      </c>
      <c r="F8" s="3"/>
      <c r="G8" s="4"/>
      <c r="H8" s="3">
        <f>IF(ISBLANK(E8),"",E8-F8)</f>
        <v>540</v>
      </c>
      <c r="I8" t="str">
        <f>IF(ISBLANK(E8),"",IF(H8&lt;=0,"Paid",IF(Summary!$B$2&gt;D8,"Overdue",IF(F8&gt;0,"Partly paid","Unpaid"))))</f>
        <v>Overdue</v>
      </c>
      <c r="J8" s="2">
        <f>IF(ISBLANK(E8),"",IF(AND(H8&gt;0,Summary!$B$2&gt;D8),Summary!$B$2-D8,0))</f>
        <v>32</v>
      </c>
      <c r="K8" s="2" t="str">
        <f>IF(AND(ISNUMBER(H8),ISNUMBER(G8)),IF(H8&lt;=0,G8-C8,""),"")</f>
        <v/>
      </c>
    </row>
    <row r="9" spans="1:11" x14ac:dyDescent="0.25">
      <c r="A9" t="s">
        <v>48</v>
      </c>
      <c r="B9" t="s">
        <v>41</v>
      </c>
      <c r="C9" s="4">
        <v>46274</v>
      </c>
      <c r="D9" s="4">
        <f>IF(ISBLANK(C9),"",C9+IFERROR(VLOOKUP(B9,Clients!$A$2:$E$50,5,FALSE),30))</f>
        <v>46304</v>
      </c>
      <c r="E9" s="3">
        <v>1200</v>
      </c>
      <c r="F9" s="3">
        <v>1200</v>
      </c>
      <c r="G9" s="4">
        <v>46301</v>
      </c>
      <c r="H9" s="3">
        <f>IF(ISBLANK(E9),"",E9-F9)</f>
        <v>0</v>
      </c>
      <c r="I9" t="str">
        <f>IF(ISBLANK(E9),"",IF(H9&lt;=0,"Paid",IF(Summary!$B$2&gt;D9,"Overdue",IF(F9&gt;0,"Partly paid","Unpaid"))))</f>
        <v>Paid</v>
      </c>
      <c r="J9" s="2">
        <f>IF(ISBLANK(E9),"",IF(AND(H9&gt;0,Summary!$B$2&gt;D9),Summary!$B$2-D9,0))</f>
        <v>0</v>
      </c>
      <c r="K9" s="2">
        <f>IF(AND(ISNUMBER(H9),ISNUMBER(G9)),IF(H9&lt;=0,G9-C9,""),"")</f>
        <v>27</v>
      </c>
    </row>
    <row r="10" spans="1:11" x14ac:dyDescent="0.25">
      <c r="A10" t="s">
        <v>49</v>
      </c>
      <c r="B10" t="s">
        <v>43</v>
      </c>
      <c r="C10" s="4">
        <v>46288</v>
      </c>
      <c r="D10" s="4">
        <f>IF(ISBLANK(C10),"",C10+IFERROR(VLOOKUP(B10,Clients!$A$2:$E$50,5,FALSE),30))</f>
        <v>46318</v>
      </c>
      <c r="E10" s="3">
        <v>1675</v>
      </c>
      <c r="F10" s="3"/>
      <c r="G10" s="4"/>
      <c r="H10" s="3">
        <f>IF(ISBLANK(E10),"",E10-F10)</f>
        <v>1675</v>
      </c>
      <c r="I10" t="str">
        <f>IF(ISBLANK(E10),"",IF(H10&lt;=0,"Paid",IF(Summary!$B$2&gt;D10,"Overdue",IF(F10&gt;0,"Partly paid","Unpaid"))))</f>
        <v>Unpaid</v>
      </c>
      <c r="J10" s="2">
        <f>IF(ISBLANK(E10),"",IF(AND(H10&gt;0,Summary!$B$2&gt;D10),Summary!$B$2-D10,0))</f>
        <v>0</v>
      </c>
      <c r="K10" s="2" t="str">
        <f>IF(AND(ISNUMBER(H10),ISNUMBER(G10)),IF(H10&lt;=0,G10-C10,""),"")</f>
        <v/>
      </c>
    </row>
    <row r="11" spans="1:11" x14ac:dyDescent="0.25">
      <c r="A11" t="s">
        <v>50</v>
      </c>
      <c r="B11" t="s">
        <v>39</v>
      </c>
      <c r="C11" s="4">
        <v>46296</v>
      </c>
      <c r="D11" s="4">
        <f>IF(ISBLANK(C11),"",C11+IFERROR(VLOOKUP(B11,Clients!$A$2:$E$50,5,FALSE),30))</f>
        <v>46311</v>
      </c>
      <c r="E11" s="3">
        <v>760</v>
      </c>
      <c r="F11" s="3"/>
      <c r="G11" s="4"/>
      <c r="H11" s="3">
        <f>IF(ISBLANK(E11),"",E11-F11)</f>
        <v>760</v>
      </c>
      <c r="I11" t="str">
        <f>IF(ISBLANK(E11),"",IF(H11&lt;=0,"Paid",IF(Summary!$B$2&gt;D11,"Overdue",IF(F11&gt;0,"Partly paid","Unpaid"))))</f>
        <v>Overdue</v>
      </c>
      <c r="J11" s="2">
        <f>IF(ISBLANK(E11),"",IF(AND(H11&gt;0,Summary!$B$2&gt;D11),Summary!$B$2-D11,0))</f>
        <v>2</v>
      </c>
      <c r="K11" s="2" t="str">
        <f>IF(AND(ISNUMBER(H11),ISNUMBER(G11)),IF(H11&lt;=0,G11-C11,""),"")</f>
        <v/>
      </c>
    </row>
    <row r="12" spans="1:11" x14ac:dyDescent="0.25">
      <c r="A12" t="s">
        <v>51</v>
      </c>
      <c r="B12" t="s">
        <v>47</v>
      </c>
      <c r="C12" s="4">
        <v>46302</v>
      </c>
      <c r="D12" s="4">
        <f>IF(ISBLANK(C12),"",C12+IFERROR(VLOOKUP(B12,Clients!$A$2:$E$50,5,FALSE),30))</f>
        <v>46316</v>
      </c>
      <c r="E12" s="3">
        <v>320</v>
      </c>
      <c r="F12" s="3"/>
      <c r="G12" s="4"/>
      <c r="H12" s="3">
        <f>IF(ISBLANK(E12),"",E12-F12)</f>
        <v>320</v>
      </c>
      <c r="I12" t="str">
        <f>IF(ISBLANK(E12),"",IF(H12&lt;=0,"Paid",IF(Summary!$B$2&gt;D12,"Overdue",IF(F12&gt;0,"Partly paid","Unpaid"))))</f>
        <v>Unpaid</v>
      </c>
      <c r="J12" s="2">
        <f>IF(ISBLANK(E12),"",IF(AND(H12&gt;0,Summary!$B$2&gt;D12),Summary!$B$2-D12,0))</f>
        <v>0</v>
      </c>
      <c r="K12" s="2" t="str">
        <f>IF(AND(ISNUMBER(H12),ISNUMBER(G12)),IF(H12&lt;=0,G12-C12,""),"")</f>
        <v/>
      </c>
    </row>
    <row r="13" spans="1:11" x14ac:dyDescent="0.25">
      <c r="A13" t="s">
        <v>4</v>
      </c>
      <c r="B13" t="s">
        <v>12</v>
      </c>
      <c r="C13" s="4">
        <v>46310</v>
      </c>
      <c r="D13" s="4">
        <f>IF(ISBLANK(C13),"",C13+IFERROR(VLOOKUP(B13,Clients!$A$2:$E$50,5,FALSE),30))</f>
        <v>46340</v>
      </c>
      <c r="E13" s="3">
        <v>1166</v>
      </c>
      <c r="F13" s="3">
        <v>300</v>
      </c>
      <c r="G13" s="4">
        <v>46310</v>
      </c>
      <c r="H13" s="3">
        <f>IF(ISBLANK(E13),"",E13-F13)</f>
        <v>866</v>
      </c>
      <c r="I13" t="str">
        <f>IF(ISBLANK(E13),"",IF(H13&lt;=0,"Paid",IF(Summary!$B$2&gt;D13,"Overdue",IF(F13&gt;0,"Partly paid","Unpaid"))))</f>
        <v>Partly paid</v>
      </c>
      <c r="J13" s="2">
        <f>IF(ISBLANK(E13),"",IF(AND(H13&gt;0,Summary!$B$2&gt;D13),Summary!$B$2-D13,0))</f>
        <v>0</v>
      </c>
      <c r="K13" s="2" t="str">
        <f>IF(AND(ISNUMBER(H13),ISNUMBER(G13)),IF(H13&lt;=0,G13-C13,""),"")</f>
        <v/>
      </c>
    </row>
    <row r="14" spans="1:11" x14ac:dyDescent="0.25">
      <c r="C14" s="4"/>
      <c r="D14" s="4" t="str">
        <f>IF(ISBLANK(C14),"",C14+IFERROR(VLOOKUP(B14,Clients!$A$2:$E$50,5,FALSE),30))</f>
        <v/>
      </c>
      <c r="E14" s="3"/>
      <c r="F14" s="3"/>
      <c r="G14" s="4"/>
      <c r="H14" s="3" t="str">
        <f>IF(ISBLANK(E14),"",E14-F14)</f>
        <v/>
      </c>
      <c r="I14" t="str">
        <f>IF(ISBLANK(E14),"",IF(H14&lt;=0,"Paid",IF(Summary!$B$2&gt;D14,"Overdue",IF(F14&gt;0,"Partly paid","Unpaid"))))</f>
        <v/>
      </c>
      <c r="J14" s="2" t="str">
        <f>IF(ISBLANK(E14),"",IF(AND(H14&gt;0,Summary!$B$2&gt;D14),Summary!$B$2-D14,0))</f>
        <v/>
      </c>
      <c r="K14" s="2" t="str">
        <f>IF(AND(ISNUMBER(H14),ISNUMBER(G14)),IF(H14&lt;=0,G14-C14,""),"")</f>
        <v/>
      </c>
    </row>
    <row r="15" spans="1:11" x14ac:dyDescent="0.25">
      <c r="C15" s="4"/>
      <c r="D15" s="4" t="str">
        <f>IF(ISBLANK(C15),"",C15+IFERROR(VLOOKUP(B15,Clients!$A$2:$E$50,5,FALSE),30))</f>
        <v/>
      </c>
      <c r="E15" s="3"/>
      <c r="F15" s="3"/>
      <c r="G15" s="4"/>
      <c r="H15" s="3" t="str">
        <f>IF(ISBLANK(E15),"",E15-F15)</f>
        <v/>
      </c>
      <c r="I15" t="str">
        <f>IF(ISBLANK(E15),"",IF(H15&lt;=0,"Paid",IF(Summary!$B$2&gt;D15,"Overdue",IF(F15&gt;0,"Partly paid","Unpaid"))))</f>
        <v/>
      </c>
      <c r="J15" s="2" t="str">
        <f>IF(ISBLANK(E15),"",IF(AND(H15&gt;0,Summary!$B$2&gt;D15),Summary!$B$2-D15,0))</f>
        <v/>
      </c>
      <c r="K15" s="2" t="str">
        <f>IF(AND(ISNUMBER(H15),ISNUMBER(G15)),IF(H15&lt;=0,G15-C15,""),"")</f>
        <v/>
      </c>
    </row>
    <row r="16" spans="1:11" x14ac:dyDescent="0.25">
      <c r="C16" s="4"/>
      <c r="D16" s="4" t="str">
        <f>IF(ISBLANK(C16),"",C16+IFERROR(VLOOKUP(B16,Clients!$A$2:$E$50,5,FALSE),30))</f>
        <v/>
      </c>
      <c r="E16" s="3"/>
      <c r="F16" s="3"/>
      <c r="G16" s="4"/>
      <c r="H16" s="3" t="str">
        <f>IF(ISBLANK(E16),"",E16-F16)</f>
        <v/>
      </c>
      <c r="I16" t="str">
        <f>IF(ISBLANK(E16),"",IF(H16&lt;=0,"Paid",IF(Summary!$B$2&gt;D16,"Overdue",IF(F16&gt;0,"Partly paid","Unpaid"))))</f>
        <v/>
      </c>
      <c r="J16" s="2" t="str">
        <f>IF(ISBLANK(E16),"",IF(AND(H16&gt;0,Summary!$B$2&gt;D16),Summary!$B$2-D16,0))</f>
        <v/>
      </c>
      <c r="K16" s="2" t="str">
        <f>IF(AND(ISNUMBER(H16),ISNUMBER(G16)),IF(H16&lt;=0,G16-C16,""),"")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5" customWidth="1"/>
    <col min="3" max="3" width="36" customWidth="1"/>
    <col min="4" max="4" width="28" customWidth="1"/>
    <col min="5" max="7" width="12" customWidth="1"/>
    <col min="8" max="8" width="13" customWidth="1"/>
    <col min="9" max="9" width="12" customWidth="1"/>
  </cols>
  <sheetData>
    <row r="1" spans="1:9" s="1" customFormat="1" x14ac:dyDescent="0.25">
      <c r="A1" s="1" t="s">
        <v>30</v>
      </c>
      <c r="B1" s="1" t="s">
        <v>52</v>
      </c>
      <c r="C1" s="1" t="s">
        <v>53</v>
      </c>
      <c r="D1" s="1" t="s">
        <v>54</v>
      </c>
      <c r="E1" s="1" t="s">
        <v>8</v>
      </c>
      <c r="F1" s="1" t="s">
        <v>55</v>
      </c>
      <c r="G1" s="1" t="s">
        <v>31</v>
      </c>
      <c r="H1" s="1" t="s">
        <v>56</v>
      </c>
      <c r="I1" s="1" t="s">
        <v>57</v>
      </c>
    </row>
    <row r="2" spans="1:9" x14ac:dyDescent="0.25">
      <c r="A2" t="s">
        <v>12</v>
      </c>
      <c r="B2" t="s">
        <v>58</v>
      </c>
      <c r="C2" t="s">
        <v>59</v>
      </c>
      <c r="D2" t="s">
        <v>60</v>
      </c>
      <c r="E2" s="2">
        <v>30</v>
      </c>
      <c r="F2" s="3">
        <f>SUMIF('Invoice Log'!B:B,A2,'Invoice Log'!E:E)</f>
        <v>2361</v>
      </c>
      <c r="G2" s="3">
        <f>SUMIF('Invoice Log'!B:B,A2,'Invoice Log'!F:F)</f>
        <v>1495</v>
      </c>
      <c r="H2" s="3">
        <f>F2-G2</f>
        <v>866</v>
      </c>
      <c r="I2" s="3">
        <f>SUMIFS('Invoice Log'!H:H,'Invoice Log'!B:B,A2,'Invoice Log'!I:I,"Overdue")</f>
        <v>0</v>
      </c>
    </row>
    <row r="3" spans="1:9" x14ac:dyDescent="0.25">
      <c r="A3" t="s">
        <v>39</v>
      </c>
      <c r="B3" t="s">
        <v>61</v>
      </c>
      <c r="C3" t="s">
        <v>62</v>
      </c>
      <c r="D3" t="s">
        <v>63</v>
      </c>
      <c r="E3" s="2">
        <v>15</v>
      </c>
      <c r="F3" s="3">
        <f>SUMIF('Invoice Log'!B:B,A3,'Invoice Log'!E:E)</f>
        <v>3190</v>
      </c>
      <c r="G3" s="3">
        <f>SUMIF('Invoice Log'!B:B,A3,'Invoice Log'!F:F)</f>
        <v>2430</v>
      </c>
      <c r="H3" s="3">
        <f>F3-G3</f>
        <v>760</v>
      </c>
      <c r="I3" s="3">
        <f>SUMIFS('Invoice Log'!H:H,'Invoice Log'!B:B,A3,'Invoice Log'!I:I,"Overdue")</f>
        <v>760</v>
      </c>
    </row>
    <row r="4" spans="1:9" x14ac:dyDescent="0.25">
      <c r="A4" t="s">
        <v>41</v>
      </c>
      <c r="B4" t="s">
        <v>64</v>
      </c>
      <c r="C4" t="s">
        <v>65</v>
      </c>
      <c r="D4" t="s">
        <v>66</v>
      </c>
      <c r="E4" s="2">
        <v>30</v>
      </c>
      <c r="F4" s="3">
        <f>SUMIF('Invoice Log'!B:B,A4,'Invoice Log'!E:E)</f>
        <v>1800</v>
      </c>
      <c r="G4" s="3">
        <f>SUMIF('Invoice Log'!B:B,A4,'Invoice Log'!F:F)</f>
        <v>1800</v>
      </c>
      <c r="H4" s="3">
        <f>F4-G4</f>
        <v>0</v>
      </c>
      <c r="I4" s="3">
        <f>SUMIFS('Invoice Log'!H:H,'Invoice Log'!B:B,A4,'Invoice Log'!I:I,"Overdue")</f>
        <v>0</v>
      </c>
    </row>
    <row r="5" spans="1:9" x14ac:dyDescent="0.25">
      <c r="A5" t="s">
        <v>43</v>
      </c>
      <c r="B5" t="s">
        <v>67</v>
      </c>
      <c r="C5" t="s">
        <v>68</v>
      </c>
      <c r="D5" t="s">
        <v>69</v>
      </c>
      <c r="E5" s="2">
        <v>30</v>
      </c>
      <c r="F5" s="3">
        <f>SUMIF('Invoice Log'!B:B,A5,'Invoice Log'!E:E)</f>
        <v>3925</v>
      </c>
      <c r="G5" s="3">
        <f>SUMIF('Invoice Log'!B:B,A5,'Invoice Log'!F:F)</f>
        <v>1000</v>
      </c>
      <c r="H5" s="3">
        <f>F5-G5</f>
        <v>2925</v>
      </c>
      <c r="I5" s="3">
        <f>SUMIFS('Invoice Log'!H:H,'Invoice Log'!B:B,A5,'Invoice Log'!I:I,"Overdue")</f>
        <v>1250</v>
      </c>
    </row>
    <row r="6" spans="1:9" x14ac:dyDescent="0.25">
      <c r="A6" t="s">
        <v>47</v>
      </c>
      <c r="B6" t="s">
        <v>70</v>
      </c>
      <c r="C6" t="s">
        <v>71</v>
      </c>
      <c r="D6" t="s">
        <v>72</v>
      </c>
      <c r="E6" s="2">
        <v>14</v>
      </c>
      <c r="F6" s="3">
        <f>SUMIF('Invoice Log'!B:B,A6,'Invoice Log'!E:E)</f>
        <v>860</v>
      </c>
      <c r="G6" s="3">
        <f>SUMIF('Invoice Log'!B:B,A6,'Invoice Log'!F:F)</f>
        <v>0</v>
      </c>
      <c r="H6" s="3">
        <f>F6-G6</f>
        <v>860</v>
      </c>
      <c r="I6" s="3">
        <f>SUMIFS('Invoice Log'!H:H,'Invoice Log'!B:B,A6,'Invoice Log'!I:I,"Overdue")</f>
        <v>540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6" customWidth="1"/>
  </cols>
  <sheetData>
    <row r="1" spans="1:2" s="1" customFormat="1" x14ac:dyDescent="0.25">
      <c r="A1" s="1" t="s">
        <v>73</v>
      </c>
      <c r="B1" s="1" t="s">
        <v>16</v>
      </c>
    </row>
    <row r="2" spans="1:2" x14ac:dyDescent="0.25">
      <c r="A2" t="s">
        <v>74</v>
      </c>
      <c r="B2" s="4">
        <f>DATE(2026,10,18)</f>
        <v>46313</v>
      </c>
    </row>
    <row r="3" spans="1:2" x14ac:dyDescent="0.25">
      <c r="A3" t="s">
        <v>75</v>
      </c>
      <c r="B3" s="2">
        <f>COUNTA('Invoice Log'!A2:A100)</f>
        <v>12</v>
      </c>
    </row>
    <row r="4" spans="1:2" x14ac:dyDescent="0.25">
      <c r="A4" t="s">
        <v>76</v>
      </c>
      <c r="B4" s="3">
        <f>SUM('Invoice Log'!E2:E100)</f>
        <v>12136</v>
      </c>
    </row>
    <row r="5" spans="1:2" x14ac:dyDescent="0.25">
      <c r="A5" t="s">
        <v>77</v>
      </c>
      <c r="B5" s="3">
        <f>SUM('Invoice Log'!F2:F100)</f>
        <v>6725</v>
      </c>
    </row>
    <row r="6" spans="1:2" x14ac:dyDescent="0.25">
      <c r="A6" t="s">
        <v>78</v>
      </c>
      <c r="B6" s="3">
        <f>SUM('Invoice Log'!H2:H100)</f>
        <v>5411</v>
      </c>
    </row>
    <row r="7" spans="1:2" x14ac:dyDescent="0.25">
      <c r="A7" t="s">
        <v>57</v>
      </c>
      <c r="B7" s="3">
        <f>SUMIF('Invoice Log'!I2:I100,"Overdue",'Invoice Log'!H2:H100)</f>
        <v>2550</v>
      </c>
    </row>
    <row r="8" spans="1:2" x14ac:dyDescent="0.25">
      <c r="A8" t="s">
        <v>79</v>
      </c>
      <c r="B8" s="2">
        <f>COUNTIF('Invoice Log'!I2:I100,"Overdue")</f>
        <v>3</v>
      </c>
    </row>
    <row r="9" spans="1:2" x14ac:dyDescent="0.25">
      <c r="A9" t="s">
        <v>80</v>
      </c>
      <c r="B9" s="2">
        <f>MAX('Invoice Log'!J2:J100)</f>
        <v>44</v>
      </c>
    </row>
    <row r="10" spans="1:2" x14ac:dyDescent="0.25">
      <c r="A10" t="s">
        <v>81</v>
      </c>
      <c r="B10" s="3">
        <f>SUMIFS('Invoice Log'!H2:H100,'Invoice Log'!I2:I100,"&lt;&gt;Paid",'Invoice Log'!D2:D100,"&gt;="&amp;B2,'Invoice Log'!D2:D100,"&lt;="&amp;(B2+14))</f>
        <v>1995</v>
      </c>
    </row>
    <row r="11" spans="1:2" x14ac:dyDescent="0.25">
      <c r="A11" t="s">
        <v>82</v>
      </c>
      <c r="B11" s="2">
        <f>IFERROR(ROUND(AVERAGE('Invoice Log'!K2:K100),0),0)</f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Invoice</vt:lpstr>
      <vt:lpstr>Invoice Log</vt:lpstr>
      <vt:lpstr>Clients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Invoice</dc:title>
  <dc:subject/>
  <dc:description/>
  <cp:keywords/>
  <cp:category/>
  <cp:lastModifiedBy>Unknown</cp:lastModifiedBy>
  <dcterms:created xsi:type="dcterms:W3CDTF">2026-10-18T23:17:25Z</dcterms:created>
  <dcterms:modified xsi:type="dcterms:W3CDTF">2026-10-18T23:17:25Z</dcterms:modified>
</cp:coreProperties>
</file>