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dications" state="visible" r:id="rId4"/>
    <sheet sheetId="2" name="Daily Chart" state="visible" r:id="rId5"/>
    <sheet sheetId="3" name="By Day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<sst xmlns="http://schemas.openxmlformats.org/spreadsheetml/2006/main" count="94" uniqueCount="78">
  <si>
    <t>Medication</t>
  </si>
  <si>
    <t>Dose</t>
  </si>
  <si>
    <t>Times per day</t>
  </si>
  <si>
    <t>Times</t>
  </si>
  <si>
    <t>How to take</t>
  </si>
  <si>
    <t>What it's for</t>
  </si>
  <si>
    <t>Prescribed by</t>
  </si>
  <si>
    <t>Refill due</t>
  </si>
  <si>
    <t>Days to refill</t>
  </si>
  <si>
    <t>Refill status</t>
  </si>
  <si>
    <t>On chart</t>
  </si>
  <si>
    <t>Levothyroxine</t>
  </si>
  <si>
    <t>50 mcg</t>
  </si>
  <si>
    <t>6:30 AM</t>
  </si>
  <si>
    <t>Empty stomach, water only</t>
  </si>
  <si>
    <t>Thyroid</t>
  </si>
  <si>
    <t>Dr. Patel</t>
  </si>
  <si>
    <t>Omeprazole</t>
  </si>
  <si>
    <t>20 mg</t>
  </si>
  <si>
    <t>7:30 AM</t>
  </si>
  <si>
    <t>Before breakfast</t>
  </si>
  <si>
    <t>Heartburn</t>
  </si>
  <si>
    <t>Lisinopril</t>
  </si>
  <si>
    <t>10 mg</t>
  </si>
  <si>
    <t>8:00 AM</t>
  </si>
  <si>
    <t>With or without food</t>
  </si>
  <si>
    <t>Blood pressure</t>
  </si>
  <si>
    <t>Metformin</t>
  </si>
  <si>
    <t>500 mg</t>
  </si>
  <si>
    <t>8:00 AM, 6:00 PM</t>
  </si>
  <si>
    <t>With breakfast and dinner</t>
  </si>
  <si>
    <t>Blood sugar</t>
  </si>
  <si>
    <t>Dr. Nguyen</t>
  </si>
  <si>
    <t>Vitamin D3</t>
  </si>
  <si>
    <t>1,000 IU</t>
  </si>
  <si>
    <t>With breakfast</t>
  </si>
  <si>
    <t>Supplement</t>
  </si>
  <si>
    <t>Self</t>
  </si>
  <si>
    <t>Atorvastatin</t>
  </si>
  <si>
    <t>9:30 PM</t>
  </si>
  <si>
    <t>At bedtime</t>
  </si>
  <si>
    <t>Cholesterol</t>
  </si>
  <si>
    <t>Time</t>
  </si>
  <si>
    <t>Mon</t>
  </si>
  <si>
    <t>Tue</t>
  </si>
  <si>
    <t>Wed</t>
  </si>
  <si>
    <t>Thu</t>
  </si>
  <si>
    <t>Fri</t>
  </si>
  <si>
    <t>Sat</t>
  </si>
  <si>
    <t>Sun</t>
  </si>
  <si>
    <t>Taken</t>
  </si>
  <si>
    <t>Missed</t>
  </si>
  <si>
    <t>Notes</t>
  </si>
  <si>
    <t>Sat: forgot, ate first</t>
  </si>
  <si>
    <t>Wed: out late, skipped dinner dose</t>
  </si>
  <si>
    <t>Sat: fell asleep early</t>
  </si>
  <si>
    <t>Day</t>
  </si>
  <si>
    <t>Date</t>
  </si>
  <si>
    <t>Doses due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</si>
  <si>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</si>
  <si>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</si>
  <si>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</si>
  <si>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</si>
  <si>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</si>
  <si>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</si>
  <si>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</si>
  <si>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</si>
  <si>
    <t>Item</t>
  </si>
  <si>
    <t>Value</t>
  </si>
  <si>
    <t>Today</t>
  </si>
  <si>
    <t>Week starting (Monday)</t>
  </si>
  <si>
    <t>Days so far this week</t>
  </si>
  <si>
    <t>Doses per day</t>
  </si>
  <si>
    <t>Doses due so far</t>
  </si>
  <si>
    <t>Doses taken</t>
  </si>
  <si>
    <t>Doses missed</t>
  </si>
  <si>
    <t>Taken as scheduled</t>
  </si>
  <si>
    <t>Refills due in 7 days or overdue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</si>
</sst>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mmm d, yyyy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8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" customWidth="1"/>
    <col min="3" max="3" width="13" customWidth="1"/>
    <col min="4" max="4" width="17" customWidth="1"/>
    <col min="5" max="5" width="26" customWidth="1"/>
    <col min="6" max="6" width="15" customWidth="1"/>
    <col min="7" max="10" width="13" customWidth="1"/>
    <col min="11" max="11" width="1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s="2">
        <v>1</v>
      </c>
      <c r="D2" t="s">
        <v>13</v>
      </c>
      <c r="E2" t="s">
        <v>14</v>
      </c>
      <c r="F2" t="s">
        <v>15</v>
      </c>
      <c r="G2" t="s">
        <v>16</v>
      </c>
      <c r="H2" s="3">
        <v>46318</v>
      </c>
      <c r="I2" s="2">
        <f>IF(ISNUMBER(H2),H2-Summary!$B$2,"")</f>
        <v>5</v>
      </c>
      <c r="J2" t="str">
        <f>IF(NOT(ISNUMBER(I2)),"",IF(I2&lt;0,"Overdue",IF(I2&lt;=7,"Refill soon","OK")))</f>
        <v>Refill soon</v>
      </c>
      <c r="K2" t="str">
        <f>IF(COUNTIF('Daily Chart'!A2:A100,A2)=C2,"Yes",COUNTIF('Daily Chart'!A2:A100,A2)&amp;" of "&amp;C2)</f>
        <v>Yes</v>
      </c>
    </row>
    <row r="3" spans="1:11" x14ac:dyDescent="0.25">
      <c r="A3" t="s">
        <v>17</v>
      </c>
      <c r="B3" t="s">
        <v>18</v>
      </c>
      <c r="C3" s="2">
        <v>1</v>
      </c>
      <c r="D3" t="s">
        <v>19</v>
      </c>
      <c r="E3" t="s">
        <v>20</v>
      </c>
      <c r="F3" t="s">
        <v>21</v>
      </c>
      <c r="G3" t="s">
        <v>16</v>
      </c>
      <c r="H3" s="3">
        <v>46340</v>
      </c>
      <c r="I3" s="2">
        <f>IF(ISNUMBER(H3),H3-Summary!$B$2,"")</f>
        <v>27</v>
      </c>
      <c r="J3" t="str">
        <f>IF(NOT(ISNUMBER(I3)),"",IF(I3&lt;0,"Overdue",IF(I3&lt;=7,"Refill soon","OK")))</f>
        <v>OK</v>
      </c>
      <c r="K3" t="str">
        <f>IF(COUNTIF('Daily Chart'!A2:A100,A3)=C3,"Yes",COUNTIF('Daily Chart'!A2:A100,A3)&amp;" of "&amp;C3)</f>
        <v>Yes</v>
      </c>
    </row>
    <row r="4" spans="1:11" x14ac:dyDescent="0.25">
      <c r="A4" t="s">
        <v>22</v>
      </c>
      <c r="B4" t="s">
        <v>23</v>
      </c>
      <c r="C4" s="2">
        <v>1</v>
      </c>
      <c r="D4" t="s">
        <v>24</v>
      </c>
      <c r="E4" t="s">
        <v>25</v>
      </c>
      <c r="F4" t="s">
        <v>26</v>
      </c>
      <c r="G4" t="s">
        <v>16</v>
      </c>
      <c r="H4" s="3">
        <v>46328</v>
      </c>
      <c r="I4" s="2">
        <f>IF(ISNUMBER(H4),H4-Summary!$B$2,"")</f>
        <v>15</v>
      </c>
      <c r="J4" t="str">
        <f>IF(NOT(ISNUMBER(I4)),"",IF(I4&lt;0,"Overdue",IF(I4&lt;=7,"Refill soon","OK")))</f>
        <v>OK</v>
      </c>
      <c r="K4" t="str">
        <f>IF(COUNTIF('Daily Chart'!A2:A100,A4)=C4,"Yes",COUNTIF('Daily Chart'!A2:A100,A4)&amp;" of "&amp;C4)</f>
        <v>Yes</v>
      </c>
    </row>
    <row r="5" spans="1:11" x14ac:dyDescent="0.25">
      <c r="A5" t="s">
        <v>27</v>
      </c>
      <c r="B5" t="s">
        <v>28</v>
      </c>
      <c r="C5" s="2">
        <v>2</v>
      </c>
      <c r="D5" t="s">
        <v>29</v>
      </c>
      <c r="E5" t="s">
        <v>30</v>
      </c>
      <c r="F5" t="s">
        <v>31</v>
      </c>
      <c r="G5" t="s">
        <v>32</v>
      </c>
      <c r="H5" s="3">
        <v>46316</v>
      </c>
      <c r="I5" s="2">
        <f>IF(ISNUMBER(H5),H5-Summary!$B$2,"")</f>
        <v>3</v>
      </c>
      <c r="J5" t="str">
        <f>IF(NOT(ISNUMBER(I5)),"",IF(I5&lt;0,"Overdue",IF(I5&lt;=7,"Refill soon","OK")))</f>
        <v>Refill soon</v>
      </c>
      <c r="K5" t="str">
        <f>IF(COUNTIF('Daily Chart'!A2:A100,A5)=C5,"Yes",COUNTIF('Daily Chart'!A2:A100,A5)&amp;" of "&amp;C5)</f>
        <v>Yes</v>
      </c>
    </row>
    <row r="6" spans="1:11" x14ac:dyDescent="0.25">
      <c r="A6" t="s">
        <v>33</v>
      </c>
      <c r="B6" t="s">
        <v>34</v>
      </c>
      <c r="C6" s="2">
        <v>1</v>
      </c>
      <c r="D6" t="s">
        <v>24</v>
      </c>
      <c r="E6" t="s">
        <v>35</v>
      </c>
      <c r="F6" t="s">
        <v>36</v>
      </c>
      <c r="G6" t="s">
        <v>37</v>
      </c>
      <c r="H6" s="3">
        <v>46357</v>
      </c>
      <c r="I6" s="2">
        <f>IF(ISNUMBER(H6),H6-Summary!$B$2,"")</f>
        <v>44</v>
      </c>
      <c r="J6" t="str">
        <f>IF(NOT(ISNUMBER(I6)),"",IF(I6&lt;0,"Overdue",IF(I6&lt;=7,"Refill soon","OK")))</f>
        <v>OK</v>
      </c>
      <c r="K6" t="str">
        <f>IF(COUNTIF('Daily Chart'!A2:A100,A6)=C6,"Yes",COUNTIF('Daily Chart'!A2:A100,A6)&amp;" of "&amp;C6)</f>
        <v>Yes</v>
      </c>
    </row>
    <row r="7" spans="1:11" x14ac:dyDescent="0.25">
      <c r="A7" t="s">
        <v>38</v>
      </c>
      <c r="B7" t="s">
        <v>18</v>
      </c>
      <c r="C7" s="2">
        <v>1</v>
      </c>
      <c r="D7" t="s">
        <v>39</v>
      </c>
      <c r="E7" t="s">
        <v>40</v>
      </c>
      <c r="F7" t="s">
        <v>41</v>
      </c>
      <c r="G7" t="s">
        <v>16</v>
      </c>
      <c r="H7" s="3">
        <v>46310</v>
      </c>
      <c r="I7" s="2">
        <f>IF(ISNUMBER(H7),H7-Summary!$B$2,"")</f>
        <v>-3</v>
      </c>
      <c r="J7" t="str">
        <f>IF(NOT(ISNUMBER(I7)),"",IF(I7&lt;0,"Overdue",IF(I7&lt;=7,"Refill soon","OK")))</f>
        <v>Overdue</v>
      </c>
      <c r="K7" t="str">
        <f>IF(COUNTIF('Daily Chart'!A2:A100,A7)=C7,"Yes",COUNTIF('Daily Chart'!A2:A100,A7)&amp;" of "&amp;C7)</f>
        <v>Yes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M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10" customWidth="1"/>
    <col min="4" max="10" width="6" customWidth="1"/>
    <col min="11" max="12" width="8" customWidth="1"/>
    <col min="13" max="13" width="32" customWidth="1"/>
  </cols>
  <sheetData>
    <row r="1" spans="1:13" s="1" customFormat="1" x14ac:dyDescent="0.25">
      <c r="A1" s="1" t="s">
        <v>0</v>
      </c>
      <c r="B1" s="1" t="s">
        <v>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51</v>
      </c>
      <c r="M1" s="1" t="s">
        <v>52</v>
      </c>
    </row>
    <row r="2" spans="1:13" x14ac:dyDescent="0.25">
      <c r="A2" t="s">
        <v>11</v>
      </c>
      <c r="B2" t="str">
        <f>IFERROR(VLOOKUP(A2,Medications!A:B,2,FALSE),"")</f>
        <v>50 mcg</v>
      </c>
      <c r="C2" s="4">
        <v>0.2708333333333333</v>
      </c>
      <c r="D2" t="b">
        <v>1</v>
      </c>
      <c r="E2" t="b">
        <v>1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s="2">
        <f>COUNTIF(D2:J2,TRUE)</f>
        <v>7</v>
      </c>
      <c r="L2" s="2">
        <f>MAX(0,Summary!$B$4-K2)</f>
        <v>0</v>
      </c>
    </row>
    <row r="3" spans="1:13" x14ac:dyDescent="0.25">
      <c r="A3" t="s">
        <v>17</v>
      </c>
      <c r="B3" t="str">
        <f>IFERROR(VLOOKUP(A3,Medications!A:B,2,FALSE),"")</f>
        <v>20 mg</v>
      </c>
      <c r="C3" s="4">
        <v>0.3125</v>
      </c>
      <c r="D3" t="b">
        <v>1</v>
      </c>
      <c r="E3" t="b">
        <v>1</v>
      </c>
      <c r="F3" t="b">
        <v>1</v>
      </c>
      <c r="G3" t="b">
        <v>1</v>
      </c>
      <c r="H3" t="b">
        <v>1</v>
      </c>
      <c r="I3" t="b">
        <v>0</v>
      </c>
      <c r="J3" t="b">
        <v>1</v>
      </c>
      <c r="K3" s="2">
        <f>COUNTIF(D3:J3,TRUE)</f>
        <v>6</v>
      </c>
      <c r="L3" s="2">
        <f>MAX(0,Summary!$B$4-K3)</f>
        <v>1</v>
      </c>
      <c r="M3" t="s">
        <v>53</v>
      </c>
    </row>
    <row r="4" spans="1:13" x14ac:dyDescent="0.25">
      <c r="A4" t="s">
        <v>22</v>
      </c>
      <c r="B4" t="str">
        <f>IFERROR(VLOOKUP(A4,Medications!A:B,2,FALSE),"")</f>
        <v>10 mg</v>
      </c>
      <c r="C4" s="4">
        <v>0.3333333333333333</v>
      </c>
      <c r="D4" t="b">
        <v>1</v>
      </c>
      <c r="E4" t="b">
        <v>1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s="2">
        <f>COUNTIF(D4:J4,TRUE)</f>
        <v>7</v>
      </c>
      <c r="L4" s="2">
        <f>MAX(0,Summary!$B$4-K4)</f>
        <v>0</v>
      </c>
    </row>
    <row r="5" spans="1:13" x14ac:dyDescent="0.25">
      <c r="A5" t="s">
        <v>27</v>
      </c>
      <c r="B5" t="str">
        <f>IFERROR(VLOOKUP(A5,Medications!A:B,2,FALSE),"")</f>
        <v>500 mg</v>
      </c>
      <c r="C5" s="4">
        <v>0.3333333333333333</v>
      </c>
      <c r="D5" t="b">
        <v>1</v>
      </c>
      <c r="E5" t="b">
        <v>1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s="2">
        <f>COUNTIF(D5:J5,TRUE)</f>
        <v>7</v>
      </c>
      <c r="L5" s="2">
        <f>MAX(0,Summary!$B$4-K5)</f>
        <v>0</v>
      </c>
    </row>
    <row r="6" spans="1:13" x14ac:dyDescent="0.25">
      <c r="A6" t="s">
        <v>33</v>
      </c>
      <c r="B6" t="str">
        <f>IFERROR(VLOOKUP(A6,Medications!A:B,2,FALSE),"")</f>
        <v>1,000 IU</v>
      </c>
      <c r="C6" s="4">
        <v>0.3333333333333333</v>
      </c>
      <c r="D6" t="b">
        <v>1</v>
      </c>
      <c r="E6" t="b">
        <v>1</v>
      </c>
      <c r="F6" t="b">
        <v>1</v>
      </c>
      <c r="G6" t="b">
        <v>0</v>
      </c>
      <c r="H6" t="b">
        <v>1</v>
      </c>
      <c r="I6" t="b">
        <v>1</v>
      </c>
      <c r="J6" t="b">
        <v>1</v>
      </c>
      <c r="K6" s="2">
        <f>COUNTIF(D6:J6,TRUE)</f>
        <v>6</v>
      </c>
      <c r="L6" s="2">
        <f>MAX(0,Summary!$B$4-K6)</f>
        <v>1</v>
      </c>
    </row>
    <row r="7" spans="1:13" x14ac:dyDescent="0.25">
      <c r="A7" t="s">
        <v>27</v>
      </c>
      <c r="B7" t="str">
        <f>IFERROR(VLOOKUP(A7,Medications!A:B,2,FALSE),"")</f>
        <v>500 mg</v>
      </c>
      <c r="C7" s="4">
        <v>0.75</v>
      </c>
      <c r="D7" t="b">
        <v>1</v>
      </c>
      <c r="E7" t="b">
        <v>1</v>
      </c>
      <c r="F7" t="b">
        <v>0</v>
      </c>
      <c r="G7" t="b">
        <v>1</v>
      </c>
      <c r="H7" t="b">
        <v>1</v>
      </c>
      <c r="I7" t="b">
        <v>1</v>
      </c>
      <c r="J7" t="b">
        <v>1</v>
      </c>
      <c r="K7" s="2">
        <f>COUNTIF(D7:J7,TRUE)</f>
        <v>6</v>
      </c>
      <c r="L7" s="2">
        <f>MAX(0,Summary!$B$4-K7)</f>
        <v>1</v>
      </c>
      <c r="M7" t="s">
        <v>54</v>
      </c>
    </row>
    <row r="8" spans="1:13" x14ac:dyDescent="0.25">
      <c r="A8" t="s">
        <v>38</v>
      </c>
      <c r="B8" t="str">
        <f>IFERROR(VLOOKUP(A8,Medications!A:B,2,FALSE),"")</f>
        <v>20 mg</v>
      </c>
      <c r="C8" s="4">
        <v>0.8958333333333334</v>
      </c>
      <c r="D8" t="b">
        <v>1</v>
      </c>
      <c r="E8" t="b">
        <v>1</v>
      </c>
      <c r="F8" t="b">
        <v>1</v>
      </c>
      <c r="G8" t="b">
        <v>1</v>
      </c>
      <c r="H8" t="b">
        <v>1</v>
      </c>
      <c r="I8" t="b">
        <v>0</v>
      </c>
      <c r="J8" t="b">
        <v>1</v>
      </c>
      <c r="K8" s="2">
        <f>COUNTIF(D8:J8,TRUE)</f>
        <v>6</v>
      </c>
      <c r="L8" s="2">
        <f>MAX(0,Summary!$B$4-K8)</f>
        <v>1</v>
      </c>
      <c r="M8" t="s">
        <v>55</v>
      </c>
    </row>
    <row r="9" spans="4:10" x14ac:dyDescent="0.25"/>
    <row r="10" spans="4:10" x14ac:dyDescent="0.25"/>
    <row r="11" spans="4:10" x14ac:dyDescent="0.25"/>
    <row r="12" spans="4:10" x14ac:dyDescent="0.25"/>
    <row r="13" spans="4:10" x14ac:dyDescent="0.25"/>
    <row r="14" spans="4:10" x14ac:dyDescent="0.25"/>
    <row r="15" spans="4:10" x14ac:dyDescent="0.25"/>
    <row r="16" spans="4:10" x14ac:dyDescent="0.25"/>
    <row r="17" spans="4:10" x14ac:dyDescent="0.25"/>
    <row r="18" spans="4:10" x14ac:dyDescent="0.25"/>
    <row r="19" spans="4:10" x14ac:dyDescent="0.25"/>
    <row r="20" spans="4:10" x14ac:dyDescent="0.25"/>
    <row r="21" spans="4:10" x14ac:dyDescent="0.25"/>
    <row r="22" spans="4:10" x14ac:dyDescent="0.25"/>
    <row r="23" spans="4:10" x14ac:dyDescent="0.25"/>
    <row r="24" spans="4:10" x14ac:dyDescent="0.25"/>
    <row r="25" spans="4:10" x14ac:dyDescent="0.25"/>
    <row r="26" spans="4:10" x14ac:dyDescent="0.25"/>
    <row r="27" spans="4:10" x14ac:dyDescent="0.25"/>
    <row r="28" spans="4:10" x14ac:dyDescent="0.25"/>
    <row r="29" spans="4:10" x14ac:dyDescent="0.25"/>
    <row r="30" spans="4:10" x14ac:dyDescent="0.25"/>
    <row r="31" spans="4:10" x14ac:dyDescent="0.25"/>
    <row r="32" spans="4:10" x14ac:dyDescent="0.25"/>
    <row r="33" spans="4:10" x14ac:dyDescent="0.25"/>
    <row r="34" spans="4:10" x14ac:dyDescent="0.25"/>
    <row r="35" spans="4:10" x14ac:dyDescent="0.25"/>
    <row r="36" spans="4:10" x14ac:dyDescent="0.25"/>
    <row r="37" spans="4:10" x14ac:dyDescent="0.25"/>
    <row r="38" spans="4:10" x14ac:dyDescent="0.25"/>
    <row r="39" spans="4:10" x14ac:dyDescent="0.25"/>
    <row r="40" spans="4:10" x14ac:dyDescent="0.25"/>
    <row r="41" spans="4:10" x14ac:dyDescent="0.25"/>
    <row r="42" spans="4:10" x14ac:dyDescent="0.25"/>
    <row r="43" spans="4:10" x14ac:dyDescent="0.25"/>
    <row r="44" spans="4:10" x14ac:dyDescent="0.25"/>
    <row r="45" spans="4:10" x14ac:dyDescent="0.25"/>
    <row r="46" spans="4:10" x14ac:dyDescent="0.25"/>
    <row r="47" spans="4:10" x14ac:dyDescent="0.25"/>
    <row r="48" spans="4:10" x14ac:dyDescent="0.25"/>
    <row r="49" spans="4:10" x14ac:dyDescent="0.25"/>
    <row r="50" spans="4:10" x14ac:dyDescent="0.25"/>
  </sheetData>
  <dataValidations count="2">
    <dataValidation type="list" allowBlank="1" sqref="D10:J50">
      <formula1>"TRUE,FALSE"</formula1>
    </dataValidation>
    <dataValidation type="list" allowBlank="1" sqref="D2:J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1" customWidth="1"/>
    <col min="4" max="5" width="8" customWidth="1"/>
    <col min="6" max="6" width="13" customWidth="1"/>
  </cols>
  <sheetData>
    <row r="1" spans="1:6" s="1" customFormat="1" x14ac:dyDescent="0.25">
      <c r="A1" s="1" t="s">
        <v>56</v>
      </c>
      <c r="B1" s="1" t="s">
        <v>57</v>
      </c>
      <c r="C1" s="1" t="s">
        <v>58</v>
      </c>
      <c r="D1" s="1" t="s">
        <v>50</v>
      </c>
      <c r="E1" s="1" t="s">
        <v>51</v>
      </c>
      <c r="F1" s="1" t="s">
        <v>59</v>
      </c>
    </row>
    <row r="2" spans="1:6" x14ac:dyDescent="0.25">
      <c r="A2" t="s">
        <v>60</v>
      </c>
      <c r="B2" s="3">
        <f>Summary!$B$3+0</f>
        <v>46307</v>
      </c>
      <c r="C2" s="2">
        <f>IF(1&lt;=Summary!$B$4,COUNTA('Daily Chart'!A2:A100),0)</f>
        <v>7</v>
      </c>
      <c r="D2" s="2">
        <f>COUNTIF('Daily Chart'!D2:D100,TRUE)</f>
        <v>7</v>
      </c>
      <c r="E2" s="2">
        <f>MAX(0,C2-D2)</f>
        <v>0</v>
      </c>
      <c r="F2" t="str">
        <f>IF(C2=0,"",IF(E2=0,"All taken",E2&amp;" missed"))</f>
        <v>All taken</v>
      </c>
    </row>
    <row r="3" spans="1:6" x14ac:dyDescent="0.25">
      <c r="A3" t="s">
        <v>61</v>
      </c>
      <c r="B3" s="3">
        <f>Summary!$B$3+1</f>
        <v>46308</v>
      </c>
      <c r="C3" s="2">
        <f>IF(2&lt;=Summary!$B$4,COUNTA('Daily Chart'!A2:A100),0)</f>
        <v>7</v>
      </c>
      <c r="D3" s="2">
        <f>COUNTIF('Daily Chart'!E2:E100,TRUE)</f>
        <v>7</v>
      </c>
      <c r="E3" s="2">
        <f>MAX(0,C3-D3)</f>
        <v>0</v>
      </c>
      <c r="F3" t="str">
        <f>IF(C3=0,"",IF(E3=0,"All taken",E3&amp;" missed"))</f>
        <v>All taken</v>
      </c>
    </row>
    <row r="4" spans="1:6" x14ac:dyDescent="0.25">
      <c r="A4" t="s">
        <v>62</v>
      </c>
      <c r="B4" s="3">
        <f>Summary!$B$3+2</f>
        <v>46309</v>
      </c>
      <c r="C4" s="2">
        <f>IF(3&lt;=Summary!$B$4,COUNTA('Daily Chart'!A2:A100),0)</f>
        <v>7</v>
      </c>
      <c r="D4" s="2">
        <f>COUNTIF('Daily Chart'!F2:F100,TRUE)</f>
        <v>6</v>
      </c>
      <c r="E4" s="2">
        <f>MAX(0,C4-D4)</f>
        <v>1</v>
      </c>
      <c r="F4" t="str">
        <f>IF(C4=0,"",IF(E4=0,"All taken",E4&amp;" missed"))</f>
        <v>1 missed</v>
      </c>
    </row>
    <row r="5" spans="1:6" x14ac:dyDescent="0.25">
      <c r="A5" t="s">
        <v>63</v>
      </c>
      <c r="B5" s="3">
        <f>Summary!$B$3+3</f>
        <v>46310</v>
      </c>
      <c r="C5" s="2">
        <f>IF(4&lt;=Summary!$B$4,COUNTA('Daily Chart'!A2:A100),0)</f>
        <v>7</v>
      </c>
      <c r="D5" s="2">
        <f>COUNTIF('Daily Chart'!G2:G100,TRUE)</f>
        <v>6</v>
      </c>
      <c r="E5" s="2">
        <f>MAX(0,C5-D5)</f>
        <v>1</v>
      </c>
      <c r="F5" t="str">
        <f>IF(C5=0,"",IF(E5=0,"All taken",E5&amp;" missed"))</f>
        <v>1 missed</v>
      </c>
    </row>
    <row r="6" spans="1:6" x14ac:dyDescent="0.25">
      <c r="A6" t="s">
        <v>64</v>
      </c>
      <c r="B6" s="3">
        <f>Summary!$B$3+4</f>
        <v>46311</v>
      </c>
      <c r="C6" s="2">
        <f>IF(5&lt;=Summary!$B$4,COUNTA('Daily Chart'!A2:A100),0)</f>
        <v>7</v>
      </c>
      <c r="D6" s="2">
        <f>COUNTIF('Daily Chart'!H2:H100,TRUE)</f>
        <v>7</v>
      </c>
      <c r="E6" s="2">
        <f>MAX(0,C6-D6)</f>
        <v>0</v>
      </c>
      <c r="F6" t="str">
        <f>IF(C6=0,"",IF(E6=0,"All taken",E6&amp;" missed"))</f>
        <v>All taken</v>
      </c>
    </row>
    <row r="7" spans="1:6" x14ac:dyDescent="0.25">
      <c r="A7" t="s">
        <v>65</v>
      </c>
      <c r="B7" s="3">
        <f>Summary!$B$3+5</f>
        <v>46312</v>
      </c>
      <c r="C7" s="2">
        <f>IF(6&lt;=Summary!$B$4,COUNTA('Daily Chart'!A2:A100),0)</f>
        <v>7</v>
      </c>
      <c r="D7" s="2">
        <f>COUNTIF('Daily Chart'!I2:I100,TRUE)</f>
        <v>5</v>
      </c>
      <c r="E7" s="2">
        <f>MAX(0,C7-D7)</f>
        <v>2</v>
      </c>
      <c r="F7" t="str">
        <f>IF(C7=0,"",IF(E7=0,"All taken",E7&amp;" missed"))</f>
        <v>2 missed</v>
      </c>
    </row>
    <row r="8" spans="1:6" x14ac:dyDescent="0.25">
      <c r="A8" t="s">
        <v>66</v>
      </c>
      <c r="B8" s="3">
        <f>Summary!$B$3+6</f>
        <v>46313</v>
      </c>
      <c r="C8" s="2">
        <f>IF(7&lt;=Summary!$B$4,COUNTA('Daily Chart'!A2:A100),0)</f>
        <v>7</v>
      </c>
      <c r="D8" s="2">
        <f>COUNTIF('Daily Chart'!J2:J100,TRUE)</f>
        <v>7</v>
      </c>
      <c r="E8" s="2">
        <f>MAX(0,C8-D8)</f>
        <v>0</v>
      </c>
      <c r="F8" t="str">
        <f>IF(C8=0,"",IF(E8=0,"All taken",E8&amp;" missed"))</f>
        <v>All taken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4" customWidth="1"/>
  </cols>
  <sheetData>
    <row r="1" spans="1:2" s="1" customFormat="1" x14ac:dyDescent="0.25">
      <c r="A1" s="1" t="s">
        <v>67</v>
      </c>
      <c r="B1" s="1" t="s">
        <v>68</v>
      </c>
    </row>
    <row r="2" spans="1:2" x14ac:dyDescent="0.25">
      <c r="A2" t="s">
        <v>69</v>
      </c>
      <c r="B2" s="3">
        <v>46313</v>
      </c>
    </row>
    <row r="3" spans="1:2" x14ac:dyDescent="0.25">
      <c r="A3" t="s">
        <v>70</v>
      </c>
      <c r="B3" s="3">
        <v>46307</v>
      </c>
    </row>
    <row r="4" spans="1:2" x14ac:dyDescent="0.25">
      <c r="A4" t="s">
        <v>71</v>
      </c>
      <c r="B4" s="2">
        <f>MAX(0,MIN(7,B2-B3+1))</f>
        <v>7</v>
      </c>
    </row>
    <row r="5" spans="1:2" x14ac:dyDescent="0.25">
      <c r="A5" t="s">
        <v>72</v>
      </c>
      <c r="B5" s="2">
        <f>COUNTA('Daily Chart'!A2:A100)</f>
        <v>7</v>
      </c>
    </row>
    <row r="6" spans="1:2" x14ac:dyDescent="0.25">
      <c r="A6" t="s">
        <v>73</v>
      </c>
      <c r="B6" s="2">
        <f>B4*B5</f>
        <v>49</v>
      </c>
    </row>
    <row r="7" spans="1:2" x14ac:dyDescent="0.25">
      <c r="A7" t="s">
        <v>74</v>
      </c>
      <c r="B7" s="2">
        <f>COUNTIF('Daily Chart'!D2:J100,TRUE)</f>
        <v>45</v>
      </c>
    </row>
    <row r="8" spans="1:2" x14ac:dyDescent="0.25">
      <c r="A8" t="s">
        <v>75</v>
      </c>
      <c r="B8" s="2">
        <f>SUM('Daily Chart'!L2:L100)</f>
        <v>4</v>
      </c>
    </row>
    <row r="9" spans="1:2" x14ac:dyDescent="0.25">
      <c r="A9" t="s">
        <v>76</v>
      </c>
      <c r="B9" s="5">
        <f>IF(B6=0,0,MIN(1,B7/B6))</f>
        <v>0.9183673469387755</v>
      </c>
    </row>
    <row r="10" spans="1:2" x14ac:dyDescent="0.25">
      <c r="A10" t="s">
        <v>77</v>
      </c>
      <c r="B10" s="2">
        <f>COUNTIF(Medications!J2:J100,"Refill soon")+COUNTIF(Medications!J2:J100,"Overdue")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Medications</vt:lpstr>
      <vt:lpstr>Daily Chart</vt:lpstr>
      <vt:lpstr>By Day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Medication Log</dc:title>
  <dc:subject/>
  <dc:description/>
  <cp:keywords/>
  <cp:category/>
  <cp:lastModifiedBy>Unknown</cp:lastModifiedBy>
  <dcterms:created xsi:type="dcterms:W3CDTF">2026-10-18T23:17:35Z</dcterms:created>
  <dcterms:modified xsi:type="dcterms:W3CDTF">2026-10-18T23:17:35Z</dcterms:modified>
</cp:coreProperties>
</file>