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ip Log" state="visible" r:id="rId4"/>
    <sheet sheetId="2" name="Summary" state="visible" r:id="rId5"/>
    <sheet sheetId="3" name="Monthly" state="visible" r:id="rId6"/>
  </sheets>
  <calcPr calcId="171027"/>
</workbook>
</file>

<file path=xl/sharedStrings.xml><?xml version="1.0" encoding="utf-8"?>
<sst xmlns="http://schemas.openxmlformats.org/spreadsheetml/2006/main" count="189" uniqueCount="102">
  <si>
    <t>Trip Log</t>
  </si>
  <si>
    <r>
      <rPr>
        <b/>
        <color rgb="FF1E2B36"/>
        <sz val="11"/>
        <rFont val="Arial"/>
      </rPr>
      <t>rowsandcells</t>
    </r>
    <r>
      <rPr>
        <b/>
        <color rgb="FF0C7A5D"/>
        <sz val="11"/>
        <rFont val="Arial"/>
      </rPr>
      <t>.com</t>
    </r>
  </si>
  <si>
    <t>Every drive logged, with business miles and value at your rate.</t>
  </si>
  <si>
    <t>Free template</t>
  </si>
  <si>
    <t>Date</t>
  </si>
  <si>
    <t>Purpose</t>
  </si>
  <si>
    <t>From</t>
  </si>
  <si>
    <t>To</t>
  </si>
  <si>
    <t>Type</t>
  </si>
  <si>
    <t>Odometer start</t>
  </si>
  <si>
    <t>Odometer end</t>
  </si>
  <si>
    <t>Or miles</t>
  </si>
  <si>
    <t>Miles</t>
  </si>
  <si>
    <t>Parking and tolls</t>
  </si>
  <si>
    <t>Mileage value</t>
  </si>
  <si>
    <t>Notes</t>
  </si>
  <si>
    <t>Client meeting, Bloom Florist</t>
  </si>
  <si>
    <t>Home office</t>
  </si>
  <si>
    <t>Bloom Florist, Elm St</t>
  </si>
  <si>
    <t>Business</t>
  </si>
  <si>
    <t>Headshots, Carver Law</t>
  </si>
  <si>
    <t>Carver Law, downtown</t>
  </si>
  <si>
    <t>Garage downtown</t>
  </si>
  <si>
    <t>Weekend visit to Mom</t>
  </si>
  <si>
    <t>Home</t>
  </si>
  <si>
    <t>Portland</t>
  </si>
  <si>
    <t>Personal</t>
  </si>
  <si>
    <t>Print lab pickup</t>
  </si>
  <si>
    <t>Pro Print Lab</t>
  </si>
  <si>
    <t>Venue walkthrough, Cedar Barn</t>
  </si>
  <si>
    <t>Cedar Barn, Route 9</t>
  </si>
  <si>
    <t>Round trip</t>
  </si>
  <si>
    <t>Bank deposit</t>
  </si>
  <si>
    <t>First Valley Bank</t>
  </si>
  <si>
    <t>Engagement shoot, Lin and Ortiz</t>
  </si>
  <si>
    <t>Riverside Park</t>
  </si>
  <si>
    <t>Camera repair drop-off</t>
  </si>
  <si>
    <t>Lens and Light Repair</t>
  </si>
  <si>
    <t>Grocery run</t>
  </si>
  <si>
    <t>Market Basket</t>
  </si>
  <si>
    <t>Product shoot, Hearth Bakery</t>
  </si>
  <si>
    <t>Hearth Bakery</t>
  </si>
  <si>
    <t>Client meeting, Summit Realty</t>
  </si>
  <si>
    <t>Summit Realty office</t>
  </si>
  <si>
    <t>Wedding, Patel and Moore</t>
  </si>
  <si>
    <t>Lakeview Inn</t>
  </si>
  <si>
    <t>Round trip, valet</t>
  </si>
  <si>
    <t>Memorial Day trip</t>
  </si>
  <si>
    <t>Bar Harbor</t>
  </si>
  <si>
    <t>Wedding, Nguyen and Hale</t>
  </si>
  <si>
    <t>Equipment rental return</t>
  </si>
  <si>
    <t>Camera Rental Co</t>
  </si>
  <si>
    <t>School pickup and errands</t>
  </si>
  <si>
    <t>Town center</t>
  </si>
  <si>
    <t>Real estate shoot, 14 Oak Ln</t>
  </si>
  <si>
    <t>14 Oak Lane</t>
  </si>
  <si>
    <t>Wedding, Brooks and Kim</t>
  </si>
  <si>
    <t>Harbor Yacht Club</t>
  </si>
  <si>
    <t>Round trip, lot fee</t>
  </si>
  <si>
    <t>Office supply run</t>
  </si>
  <si>
    <t>Staples, Mill Rd</t>
  </si>
  <si>
    <t>Family reunion</t>
  </si>
  <si>
    <t>Burlington</t>
  </si>
  <si>
    <t>Headshots, Summit Realty</t>
  </si>
  <si>
    <t>Client meeting, Hearth Bakery</t>
  </si>
  <si>
    <t>Wedding, Alvarez and Price</t>
  </si>
  <si>
    <t>Venue walkthrough, Mill House</t>
  </si>
  <si>
    <t>The Mill House</t>
  </si>
  <si>
    <t>Real estate shoot, 9 Birch Ct</t>
  </si>
  <si>
    <t>9 Birch Court</t>
  </si>
  <si>
    <t>Apple picking</t>
  </si>
  <si>
    <t>Hill Orchard</t>
  </si>
  <si>
    <t>Wedding, Shah and Duarte</t>
  </si>
  <si>
    <t>Fall mini sessions</t>
  </si>
  <si>
    <t>Client meeting, Carver Law</t>
  </si>
  <si>
    <t>Dentist</t>
  </si>
  <si>
    <t>Bright Smile Dental</t>
  </si>
  <si>
    <t>Summary</t>
  </si>
  <si>
    <t>Type in the cream cells. Shaded cells are formulas and fill in on their own.</t>
  </si>
  <si>
    <t>Item</t>
  </si>
  <si>
    <t>Value</t>
  </si>
  <si>
    <t>Name or business</t>
  </si>
  <si>
    <t>Dana Ruiz Photography</t>
  </si>
  <si>
    <t>Vehicle</t>
  </si>
  <si>
    <t>2021 Toyota RAV4</t>
  </si>
  <si>
    <t>Rate per mile (example, use your own)</t>
  </si>
  <si>
    <t>Log year starts</t>
  </si>
  <si>
    <t>Log year ends</t>
  </si>
  <si>
    <t>Trips logged</t>
  </si>
  <si>
    <t>Business trips</t>
  </si>
  <si>
    <t>Total miles logged</t>
  </si>
  <si>
    <t>Business miles</t>
  </si>
  <si>
    <t>Personal miles</t>
  </si>
  <si>
    <t>Business share of logged miles</t>
  </si>
  <si>
    <t>Mileage value (business miles x rate)</t>
  </si>
  <si>
    <t>Business parking and tolls</t>
  </si>
  <si>
    <t>Mileage value plus parking and tolls</t>
  </si>
  <si>
    <t>Highest odometer reading</t>
  </si>
  <si>
    <t>Monthly</t>
  </si>
  <si>
    <t>Worked out from your other tabs. Shaded cells are formulas: nothing to type here.</t>
  </si>
  <si>
    <t>Month</t>
  </si>
  <si>
    <t>Trips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</si>
</sst>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m d, yyyy"/>
    <numFmt numFmtId="165" formatCode="#,##0.##"/>
    <numFmt numFmtId="166" formatCode="&quot;$&quot;#,##0.00"/>
    <numFmt numFmtId="167" formatCode="0.0%"/>
    <numFmt numFmtId="168" formatCode="mmmm yyyy"/>
  </numFmts>
  <fonts count="6" x14ac:knownFonts="1">
    <font>
      <color theme="1"/>
      <family val="2"/>
      <scheme val="minor"/>
      <sz val="11"/>
      <name val="Calibri"/>
    </font>
    <font>
      <b/>
      <color rgb="FF1E2B36"/>
      <sz val="22"/>
      <name val="Arial"/>
    </font>
    <font>
      <color rgb="FF66737D"/>
      <sz val="10"/>
      <name val="Arial"/>
    </font>
    <font>
      <color rgb="FF9AA5AD"/>
      <sz val="8"/>
      <name val="Arial"/>
    </font>
    <font>
      <b/>
      <color rgb="FF1E2B36"/>
      <sz val="10"/>
      <name val="Arial"/>
    </font>
    <font>
      <color rgb="FF1E2B36"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0C7A5D"/>
      </patternFill>
    </fill>
    <fill>
      <patternFill patternType="solid">
        <fgColor rgb="FFE6F4EE"/>
      </patternFill>
    </fill>
    <fill>
      <patternFill patternType="solid">
        <fgColor rgb="FFFFF7D6"/>
      </patternFill>
    </fill>
    <fill>
      <patternFill patternType="solid">
        <fgColor rgb="FFF4F7F6"/>
      </patternFill>
    </fill>
  </fills>
  <borders count="3">
    <border>
      <left/>
      <right/>
      <top/>
      <bottom/>
      <diagonal/>
    </border>
    <border>
      <left style="thin">
        <color rgb="FFDDE5E1"/>
      </left>
      <right style="thin">
        <color rgb="FFDDE5E1"/>
      </right>
      <top style="thin">
        <color rgb="FFDDE5E1"/>
      </top>
      <bottom style="medium">
        <color rgb="FF0C7A5D"/>
      </bottom>
      <diagonal/>
    </border>
    <border>
      <left style="thin">
        <color rgb="FFDDE5E1"/>
      </left>
      <right style="thin">
        <color rgb="FFDDE5E1"/>
      </right>
      <top style="thin">
        <color rgb="FFDDE5E1"/>
      </top>
      <bottom style="thin">
        <color rgb="FFDDE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 inden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right" vertical="top"/>
    </xf>
    <xf numFmtId="0" fontId="0" fillId="2" borderId="0" xfId="0" applyFill="1"/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/>
    </xf>
    <xf numFmtId="164" fontId="5" fillId="4" borderId="2" xfId="0" applyNumberFormat="1" applyFont="1" applyFill="1" applyBorder="1" applyAlignment="1">
      <alignment horizontal="left" vertical="center" indent="1"/>
    </xf>
    <xf numFmtId="0" fontId="5" fillId="4" borderId="2" xfId="0" applyFont="1" applyFill="1" applyBorder="1" applyAlignment="1">
      <alignment horizontal="left" vertical="center" indent="1"/>
    </xf>
    <xf numFmtId="165" fontId="5" fillId="4" borderId="2" xfId="0" applyNumberFormat="1" applyFont="1" applyFill="1" applyBorder="1" applyAlignment="1">
      <alignment horizontal="right" vertical="center"/>
    </xf>
    <xf numFmtId="165" fontId="5" fillId="5" borderId="2" xfId="0" applyNumberFormat="1" applyFont="1" applyFill="1" applyBorder="1" applyAlignment="1">
      <alignment horizontal="right" vertical="center"/>
    </xf>
    <xf numFmtId="166" fontId="5" fillId="4" borderId="2" xfId="0" applyNumberFormat="1" applyFont="1" applyFill="1" applyBorder="1" applyAlignment="1">
      <alignment horizontal="right" vertical="center"/>
    </xf>
    <xf numFmtId="166" fontId="5" fillId="5" borderId="2" xfId="0" applyNumberFormat="1" applyFont="1" applyFill="1" applyBorder="1" applyAlignment="1">
      <alignment horizontal="right" vertical="center"/>
    </xf>
    <xf numFmtId="164" fontId="5" fillId="5" borderId="2" xfId="0" applyNumberFormat="1" applyFont="1" applyFill="1" applyBorder="1" applyAlignment="1">
      <alignment horizontal="right" vertical="center"/>
    </xf>
    <xf numFmtId="167" fontId="5" fillId="5" borderId="2" xfId="0" applyNumberFormat="1" applyFont="1" applyFill="1" applyBorder="1" applyAlignment="1">
      <alignment horizontal="right" vertical="center"/>
    </xf>
    <xf numFmtId="168" fontId="4" fillId="5" borderId="2" xfId="0" applyNumberFormat="1" applyFont="1" applyFill="1" applyBorder="1" applyAlignment="1">
      <alignment horizontal="left" vertical="center" indent="1"/>
    </xf>
    <xf numFmtId="0" fontId="4" fillId="5" borderId="2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M65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13" customWidth="1"/>
    <col min="3" max="3" width="28" customWidth="1"/>
    <col min="4" max="4" width="16" customWidth="1"/>
    <col min="5" max="5" width="22" customWidth="1"/>
    <col min="6" max="6" width="11" customWidth="1"/>
    <col min="7" max="8" width="10" customWidth="1"/>
    <col min="9" max="10" width="8" customWidth="1"/>
    <col min="11" max="12" width="10" customWidth="1"/>
    <col min="13" max="13" width="20" customWidth="1"/>
  </cols>
  <sheetData>
    <row r="1" ht="34" customHeight="1" spans="2:13" x14ac:dyDescent="0.25">
      <c r="B1" s="1" t="s">
        <v>0</v>
      </c>
      <c r="K1" s="2" t="s">
        <v>1</v>
      </c>
      <c r="L1" s="2"/>
      <c r="M1" s="2"/>
    </row>
    <row r="2" ht="28" customHeight="1" spans="2:13" x14ac:dyDescent="0.25">
      <c r="B2" s="3" t="s">
        <v>2</v>
      </c>
      <c r="C2" s="3"/>
      <c r="D2" s="3"/>
      <c r="E2" s="3"/>
      <c r="F2" s="3"/>
      <c r="G2" s="3"/>
      <c r="H2" s="3"/>
      <c r="I2" s="3"/>
      <c r="J2" s="3"/>
      <c r="K2" s="4" t="s">
        <v>3</v>
      </c>
      <c r="L2" s="4"/>
      <c r="M2" s="4"/>
    </row>
    <row r="3" ht="4" customHeight="1" spans="2:13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10" customHeight="1" x14ac:dyDescent="0.25"/>
    <row r="5" ht="30" customHeight="1" spans="2:13" x14ac:dyDescent="0.25"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9</v>
      </c>
      <c r="H5" s="7" t="s">
        <v>10</v>
      </c>
      <c r="I5" s="7" t="s">
        <v>11</v>
      </c>
      <c r="J5" s="8" t="s">
        <v>12</v>
      </c>
      <c r="K5" s="7" t="s">
        <v>13</v>
      </c>
      <c r="L5" s="7" t="s">
        <v>14</v>
      </c>
      <c r="M5" s="6" t="s">
        <v>15</v>
      </c>
    </row>
    <row r="6" ht="17" customHeight="1" spans="2:13" x14ac:dyDescent="0.25">
      <c r="B6" s="9">
        <v>46030</v>
      </c>
      <c r="C6" s="10" t="s">
        <v>16</v>
      </c>
      <c r="D6" s="10" t="s">
        <v>17</v>
      </c>
      <c r="E6" s="10" t="s">
        <v>18</v>
      </c>
      <c r="F6" s="10" t="s">
        <v>19</v>
      </c>
      <c r="G6" s="11">
        <v>38501</v>
      </c>
      <c r="H6" s="11">
        <v>38515</v>
      </c>
      <c r="I6" s="11"/>
      <c r="J6" s="12">
        <f>IF(AND(ISNUMBER(G6),ISNUMBER(H6)),H6-G6,IF(ISNUMBER(I6),I6,""))</f>
        <v>14</v>
      </c>
      <c r="K6" s="13"/>
      <c r="L6" s="14">
        <f>IF(AND(F6="Business",ISNUMBER(J6)),ROUND(J6*Summary!$C$8,2),"")</f>
        <v>9.8</v>
      </c>
      <c r="M6" s="10"/>
    </row>
    <row r="7" ht="17" customHeight="1" spans="2:13" x14ac:dyDescent="0.25">
      <c r="B7" s="9">
        <v>46037</v>
      </c>
      <c r="C7" s="10" t="s">
        <v>20</v>
      </c>
      <c r="D7" s="10" t="s">
        <v>17</v>
      </c>
      <c r="E7" s="10" t="s">
        <v>21</v>
      </c>
      <c r="F7" s="10" t="s">
        <v>19</v>
      </c>
      <c r="G7" s="11">
        <v>38574</v>
      </c>
      <c r="H7" s="11">
        <v>38596</v>
      </c>
      <c r="I7" s="11"/>
      <c r="J7" s="12">
        <f>IF(AND(ISNUMBER(G7),ISNUMBER(H7)),H7-G7,IF(ISNUMBER(I7),I7,""))</f>
        <v>22</v>
      </c>
      <c r="K7" s="13">
        <v>9</v>
      </c>
      <c r="L7" s="14">
        <f>IF(AND(F7="Business",ISNUMBER(J7)),ROUND(J7*Summary!$C$8,2),"")</f>
        <v>15.4</v>
      </c>
      <c r="M7" s="10" t="s">
        <v>22</v>
      </c>
    </row>
    <row r="8" ht="17" customHeight="1" spans="2:13" x14ac:dyDescent="0.25">
      <c r="B8" s="9">
        <v>46046</v>
      </c>
      <c r="C8" s="10" t="s">
        <v>23</v>
      </c>
      <c r="D8" s="10" t="s">
        <v>24</v>
      </c>
      <c r="E8" s="10" t="s">
        <v>25</v>
      </c>
      <c r="F8" s="10" t="s">
        <v>26</v>
      </c>
      <c r="G8" s="11">
        <v>38686</v>
      </c>
      <c r="H8" s="11">
        <v>38872</v>
      </c>
      <c r="I8" s="11"/>
      <c r="J8" s="12">
        <f>IF(AND(ISNUMBER(G8),ISNUMBER(H8)),H8-G8,IF(ISNUMBER(I8),I8,""))</f>
        <v>186</v>
      </c>
      <c r="K8" s="13"/>
      <c r="L8" s="14" t="str">
        <f>IF(AND(F8="Business",ISNUMBER(J8)),ROUND(J8*Summary!$C$8,2),"")</f>
        <v/>
      </c>
      <c r="M8" s="10"/>
    </row>
    <row r="9" ht="17" customHeight="1" spans="2:13" x14ac:dyDescent="0.25">
      <c r="B9" s="9">
        <v>46056</v>
      </c>
      <c r="C9" s="10" t="s">
        <v>27</v>
      </c>
      <c r="D9" s="10" t="s">
        <v>17</v>
      </c>
      <c r="E9" s="10" t="s">
        <v>28</v>
      </c>
      <c r="F9" s="10" t="s">
        <v>19</v>
      </c>
      <c r="G9" s="11"/>
      <c r="H9" s="11"/>
      <c r="I9" s="11">
        <v>11</v>
      </c>
      <c r="J9" s="12">
        <f>IF(AND(ISNUMBER(G9),ISNUMBER(H9)),H9-G9,IF(ISNUMBER(I9),I9,""))</f>
        <v>11</v>
      </c>
      <c r="K9" s="13"/>
      <c r="L9" s="14">
        <f>IF(AND(F9="Business",ISNUMBER(J9)),ROUND(J9*Summary!$C$8,2),"")</f>
        <v>7.7</v>
      </c>
      <c r="M9" s="10"/>
    </row>
    <row r="10" ht="17" customHeight="1" spans="2:13" x14ac:dyDescent="0.25">
      <c r="B10" s="9">
        <v>46065</v>
      </c>
      <c r="C10" s="10" t="s">
        <v>29</v>
      </c>
      <c r="D10" s="10" t="s">
        <v>17</v>
      </c>
      <c r="E10" s="10" t="s">
        <v>30</v>
      </c>
      <c r="F10" s="10" t="s">
        <v>19</v>
      </c>
      <c r="G10" s="11">
        <v>39052</v>
      </c>
      <c r="H10" s="11">
        <v>39100</v>
      </c>
      <c r="I10" s="11"/>
      <c r="J10" s="12">
        <f>IF(AND(ISNUMBER(G10),ISNUMBER(H10)),H10-G10,IF(ISNUMBER(I10),I10,""))</f>
        <v>48</v>
      </c>
      <c r="K10" s="13"/>
      <c r="L10" s="14">
        <f>IF(AND(F10="Business",ISNUMBER(J10)),ROUND(J10*Summary!$C$8,2),"")</f>
        <v>33.6</v>
      </c>
      <c r="M10" s="10" t="s">
        <v>31</v>
      </c>
    </row>
    <row r="11" ht="17" customHeight="1" spans="2:13" x14ac:dyDescent="0.25">
      <c r="B11" s="9">
        <v>46079</v>
      </c>
      <c r="C11" s="10" t="s">
        <v>32</v>
      </c>
      <c r="D11" s="10" t="s">
        <v>17</v>
      </c>
      <c r="E11" s="10" t="s">
        <v>33</v>
      </c>
      <c r="F11" s="10" t="s">
        <v>19</v>
      </c>
      <c r="G11" s="11"/>
      <c r="H11" s="11"/>
      <c r="I11" s="11">
        <v>6</v>
      </c>
      <c r="J11" s="12">
        <f>IF(AND(ISNUMBER(G11),ISNUMBER(H11)),H11-G11,IF(ISNUMBER(I11),I11,""))</f>
        <v>6</v>
      </c>
      <c r="K11" s="13"/>
      <c r="L11" s="14">
        <f>IF(AND(F11="Business",ISNUMBER(J11)),ROUND(J11*Summary!$C$8,2),"")</f>
        <v>4.2</v>
      </c>
      <c r="M11" s="10"/>
    </row>
    <row r="12" ht="17" customHeight="1" spans="2:13" x14ac:dyDescent="0.25">
      <c r="B12" s="9">
        <v>46088</v>
      </c>
      <c r="C12" s="10" t="s">
        <v>34</v>
      </c>
      <c r="D12" s="10" t="s">
        <v>17</v>
      </c>
      <c r="E12" s="10" t="s">
        <v>35</v>
      </c>
      <c r="F12" s="10" t="s">
        <v>19</v>
      </c>
      <c r="G12" s="11">
        <v>39300</v>
      </c>
      <c r="H12" s="11">
        <v>39318</v>
      </c>
      <c r="I12" s="11"/>
      <c r="J12" s="12">
        <f>IF(AND(ISNUMBER(G12),ISNUMBER(H12)),H12-G12,IF(ISNUMBER(I12),I12,""))</f>
        <v>18</v>
      </c>
      <c r="K12" s="13">
        <v>5</v>
      </c>
      <c r="L12" s="14">
        <f>IF(AND(F12="Business",ISNUMBER(J12)),ROUND(J12*Summary!$C$8,2),"")</f>
        <v>12.6</v>
      </c>
      <c r="M12" s="10"/>
    </row>
    <row r="13" ht="17" customHeight="1" spans="2:13" x14ac:dyDescent="0.25">
      <c r="B13" s="9">
        <v>46100</v>
      </c>
      <c r="C13" s="10" t="s">
        <v>36</v>
      </c>
      <c r="D13" s="10" t="s">
        <v>17</v>
      </c>
      <c r="E13" s="10" t="s">
        <v>37</v>
      </c>
      <c r="F13" s="10" t="s">
        <v>19</v>
      </c>
      <c r="G13" s="11">
        <v>39426</v>
      </c>
      <c r="H13" s="11">
        <v>39457</v>
      </c>
      <c r="I13" s="11"/>
      <c r="J13" s="12">
        <f>IF(AND(ISNUMBER(G13),ISNUMBER(H13)),H13-G13,IF(ISNUMBER(I13),I13,""))</f>
        <v>31</v>
      </c>
      <c r="K13" s="13"/>
      <c r="L13" s="14">
        <f>IF(AND(F13="Business",ISNUMBER(J13)),ROUND(J13*Summary!$C$8,2),"")</f>
        <v>21.7</v>
      </c>
      <c r="M13" s="10"/>
    </row>
    <row r="14" ht="17" customHeight="1" spans="2:13" x14ac:dyDescent="0.25">
      <c r="B14" s="9">
        <v>46109</v>
      </c>
      <c r="C14" s="10" t="s">
        <v>38</v>
      </c>
      <c r="D14" s="10" t="s">
        <v>24</v>
      </c>
      <c r="E14" s="10" t="s">
        <v>39</v>
      </c>
      <c r="F14" s="10" t="s">
        <v>26</v>
      </c>
      <c r="G14" s="11"/>
      <c r="H14" s="11"/>
      <c r="I14" s="11">
        <v>9</v>
      </c>
      <c r="J14" s="12">
        <f>IF(AND(ISNUMBER(G14),ISNUMBER(H14)),H14-G14,IF(ISNUMBER(I14),I14,""))</f>
        <v>9</v>
      </c>
      <c r="K14" s="13"/>
      <c r="L14" s="14" t="str">
        <f>IF(AND(F14="Business",ISNUMBER(J14)),ROUND(J14*Summary!$C$8,2),"")</f>
        <v/>
      </c>
      <c r="M14" s="10"/>
    </row>
    <row r="15" ht="17" customHeight="1" spans="2:13" x14ac:dyDescent="0.25">
      <c r="B15" s="9">
        <v>46121</v>
      </c>
      <c r="C15" s="10" t="s">
        <v>40</v>
      </c>
      <c r="D15" s="10" t="s">
        <v>17</v>
      </c>
      <c r="E15" s="10" t="s">
        <v>41</v>
      </c>
      <c r="F15" s="10" t="s">
        <v>19</v>
      </c>
      <c r="G15" s="11">
        <v>39604</v>
      </c>
      <c r="H15" s="11">
        <v>39620</v>
      </c>
      <c r="I15" s="11"/>
      <c r="J15" s="12">
        <f>IF(AND(ISNUMBER(G15),ISNUMBER(H15)),H15-G15,IF(ISNUMBER(I15),I15,""))</f>
        <v>16</v>
      </c>
      <c r="K15" s="13"/>
      <c r="L15" s="14">
        <f>IF(AND(F15="Business",ISNUMBER(J15)),ROUND(J15*Summary!$C$8,2),"")</f>
        <v>11.2</v>
      </c>
      <c r="M15" s="10"/>
    </row>
    <row r="16" ht="17" customHeight="1" spans="2:13" x14ac:dyDescent="0.25">
      <c r="B16" s="9">
        <v>46134</v>
      </c>
      <c r="C16" s="10" t="s">
        <v>42</v>
      </c>
      <c r="D16" s="10" t="s">
        <v>17</v>
      </c>
      <c r="E16" s="10" t="s">
        <v>43</v>
      </c>
      <c r="F16" s="10" t="s">
        <v>19</v>
      </c>
      <c r="G16" s="11">
        <v>39734</v>
      </c>
      <c r="H16" s="11">
        <v>39761</v>
      </c>
      <c r="I16" s="11"/>
      <c r="J16" s="12">
        <f>IF(AND(ISNUMBER(G16),ISNUMBER(H16)),H16-G16,IF(ISNUMBER(I16),I16,""))</f>
        <v>27</v>
      </c>
      <c r="K16" s="13"/>
      <c r="L16" s="14">
        <f>IF(AND(F16="Business",ISNUMBER(J16)),ROUND(J16*Summary!$C$8,2),"")</f>
        <v>18.9</v>
      </c>
      <c r="M16" s="10"/>
    </row>
    <row r="17" ht="17" customHeight="1" spans="2:13" x14ac:dyDescent="0.25">
      <c r="B17" s="9">
        <v>46144</v>
      </c>
      <c r="C17" s="10" t="s">
        <v>44</v>
      </c>
      <c r="D17" s="10" t="s">
        <v>17</v>
      </c>
      <c r="E17" s="10" t="s">
        <v>45</v>
      </c>
      <c r="F17" s="10" t="s">
        <v>19</v>
      </c>
      <c r="G17" s="11">
        <v>39808</v>
      </c>
      <c r="H17" s="11">
        <v>39872</v>
      </c>
      <c r="I17" s="11"/>
      <c r="J17" s="12">
        <f>IF(AND(ISNUMBER(G17),ISNUMBER(H17)),H17-G17,IF(ISNUMBER(I17),I17,""))</f>
        <v>64</v>
      </c>
      <c r="K17" s="13">
        <v>12</v>
      </c>
      <c r="L17" s="14">
        <f>IF(AND(F17="Business",ISNUMBER(J17)),ROUND(J17*Summary!$C$8,2),"")</f>
        <v>44.8</v>
      </c>
      <c r="M17" s="10" t="s">
        <v>46</v>
      </c>
    </row>
    <row r="18" ht="17" customHeight="1" spans="2:13" x14ac:dyDescent="0.25">
      <c r="B18" s="9">
        <v>46156</v>
      </c>
      <c r="C18" s="10" t="s">
        <v>27</v>
      </c>
      <c r="D18" s="10" t="s">
        <v>17</v>
      </c>
      <c r="E18" s="10" t="s">
        <v>28</v>
      </c>
      <c r="F18" s="10" t="s">
        <v>19</v>
      </c>
      <c r="G18" s="11"/>
      <c r="H18" s="11"/>
      <c r="I18" s="11">
        <v>11</v>
      </c>
      <c r="J18" s="12">
        <f>IF(AND(ISNUMBER(G18),ISNUMBER(H18)),H18-G18,IF(ISNUMBER(I18),I18,""))</f>
        <v>11</v>
      </c>
      <c r="K18" s="13"/>
      <c r="L18" s="14">
        <f>IF(AND(F18="Business",ISNUMBER(J18)),ROUND(J18*Summary!$C$8,2),"")</f>
        <v>7.7</v>
      </c>
      <c r="M18" s="10"/>
    </row>
    <row r="19" ht="17" customHeight="1" spans="2:13" x14ac:dyDescent="0.25">
      <c r="B19" s="9">
        <v>46167</v>
      </c>
      <c r="C19" s="10" t="s">
        <v>47</v>
      </c>
      <c r="D19" s="10" t="s">
        <v>24</v>
      </c>
      <c r="E19" s="10" t="s">
        <v>48</v>
      </c>
      <c r="F19" s="10" t="s">
        <v>26</v>
      </c>
      <c r="G19" s="11">
        <v>40143</v>
      </c>
      <c r="H19" s="11">
        <v>40385</v>
      </c>
      <c r="I19" s="11"/>
      <c r="J19" s="12">
        <f>IF(AND(ISNUMBER(G19),ISNUMBER(H19)),H19-G19,IF(ISNUMBER(I19),I19,""))</f>
        <v>242</v>
      </c>
      <c r="K19" s="13"/>
      <c r="L19" s="14" t="str">
        <f>IF(AND(F19="Business",ISNUMBER(J19)),ROUND(J19*Summary!$C$8,2),"")</f>
        <v/>
      </c>
      <c r="M19" s="10"/>
    </row>
    <row r="20" ht="17" customHeight="1" spans="2:13" x14ac:dyDescent="0.25">
      <c r="B20" s="9">
        <v>46179</v>
      </c>
      <c r="C20" s="10" t="s">
        <v>49</v>
      </c>
      <c r="D20" s="10" t="s">
        <v>17</v>
      </c>
      <c r="E20" s="10" t="s">
        <v>30</v>
      </c>
      <c r="F20" s="10" t="s">
        <v>19</v>
      </c>
      <c r="G20" s="11">
        <v>40452</v>
      </c>
      <c r="H20" s="11">
        <v>40500</v>
      </c>
      <c r="I20" s="11"/>
      <c r="J20" s="12">
        <f>IF(AND(ISNUMBER(G20),ISNUMBER(H20)),H20-G20,IF(ISNUMBER(I20),I20,""))</f>
        <v>48</v>
      </c>
      <c r="K20" s="13"/>
      <c r="L20" s="14">
        <f>IF(AND(F20="Business",ISNUMBER(J20)),ROUND(J20*Summary!$C$8,2),"")</f>
        <v>33.6</v>
      </c>
      <c r="M20" s="10" t="s">
        <v>31</v>
      </c>
    </row>
    <row r="21" ht="17" customHeight="1" spans="2:13" x14ac:dyDescent="0.25">
      <c r="B21" s="9">
        <v>46191</v>
      </c>
      <c r="C21" s="10" t="s">
        <v>50</v>
      </c>
      <c r="D21" s="10" t="s">
        <v>17</v>
      </c>
      <c r="E21" s="10" t="s">
        <v>51</v>
      </c>
      <c r="F21" s="10" t="s">
        <v>19</v>
      </c>
      <c r="G21" s="11">
        <v>40544</v>
      </c>
      <c r="H21" s="11">
        <v>40578</v>
      </c>
      <c r="I21" s="11"/>
      <c r="J21" s="12">
        <f>IF(AND(ISNUMBER(G21),ISNUMBER(H21)),H21-G21,IF(ISNUMBER(I21),I21,""))</f>
        <v>34</v>
      </c>
      <c r="K21" s="13"/>
      <c r="L21" s="14">
        <f>IF(AND(F21="Business",ISNUMBER(J21)),ROUND(J21*Summary!$C$8,2),"")</f>
        <v>23.8</v>
      </c>
      <c r="M21" s="10"/>
    </row>
    <row r="22" ht="17" customHeight="1" spans="2:13" x14ac:dyDescent="0.25">
      <c r="B22" s="9">
        <v>46200</v>
      </c>
      <c r="C22" s="10" t="s">
        <v>52</v>
      </c>
      <c r="D22" s="10" t="s">
        <v>24</v>
      </c>
      <c r="E22" s="10" t="s">
        <v>53</v>
      </c>
      <c r="F22" s="10" t="s">
        <v>26</v>
      </c>
      <c r="G22" s="11"/>
      <c r="H22" s="11"/>
      <c r="I22" s="11">
        <v>13</v>
      </c>
      <c r="J22" s="12">
        <f>IF(AND(ISNUMBER(G22),ISNUMBER(H22)),H22-G22,IF(ISNUMBER(I22),I22,""))</f>
        <v>13</v>
      </c>
      <c r="K22" s="13"/>
      <c r="L22" s="14" t="str">
        <f>IF(AND(F22="Business",ISNUMBER(J22)),ROUND(J22*Summary!$C$8,2),"")</f>
        <v/>
      </c>
      <c r="M22" s="10"/>
    </row>
    <row r="23" ht="17" customHeight="1" spans="2:13" x14ac:dyDescent="0.25">
      <c r="B23" s="9">
        <v>46214</v>
      </c>
      <c r="C23" s="10" t="s">
        <v>54</v>
      </c>
      <c r="D23" s="10" t="s">
        <v>17</v>
      </c>
      <c r="E23" s="10" t="s">
        <v>55</v>
      </c>
      <c r="F23" s="10" t="s">
        <v>19</v>
      </c>
      <c r="G23" s="11">
        <v>40737</v>
      </c>
      <c r="H23" s="11">
        <v>40758</v>
      </c>
      <c r="I23" s="11"/>
      <c r="J23" s="12">
        <f>IF(AND(ISNUMBER(G23),ISNUMBER(H23)),H23-G23,IF(ISNUMBER(I23),I23,""))</f>
        <v>21</v>
      </c>
      <c r="K23" s="13"/>
      <c r="L23" s="14">
        <f>IF(AND(F23="Business",ISNUMBER(J23)),ROUND(J23*Summary!$C$8,2),"")</f>
        <v>14.7</v>
      </c>
      <c r="M23" s="10"/>
    </row>
    <row r="24" ht="17" customHeight="1" spans="2:13" x14ac:dyDescent="0.25">
      <c r="B24" s="9">
        <v>46222</v>
      </c>
      <c r="C24" s="10" t="s">
        <v>56</v>
      </c>
      <c r="D24" s="10" t="s">
        <v>17</v>
      </c>
      <c r="E24" s="10" t="s">
        <v>57</v>
      </c>
      <c r="F24" s="10" t="s">
        <v>19</v>
      </c>
      <c r="G24" s="11">
        <v>40851</v>
      </c>
      <c r="H24" s="11">
        <v>40908</v>
      </c>
      <c r="I24" s="11"/>
      <c r="J24" s="12">
        <f>IF(AND(ISNUMBER(G24),ISNUMBER(H24)),H24-G24,IF(ISNUMBER(I24),I24,""))</f>
        <v>57</v>
      </c>
      <c r="K24" s="13">
        <v>15</v>
      </c>
      <c r="L24" s="14">
        <f>IF(AND(F24="Business",ISNUMBER(J24)),ROUND(J24*Summary!$C$8,2),"")</f>
        <v>39.9</v>
      </c>
      <c r="M24" s="10" t="s">
        <v>58</v>
      </c>
    </row>
    <row r="25" ht="17" customHeight="1" spans="2:13" x14ac:dyDescent="0.25">
      <c r="B25" s="9">
        <v>46233</v>
      </c>
      <c r="C25" s="10" t="s">
        <v>59</v>
      </c>
      <c r="D25" s="10" t="s">
        <v>17</v>
      </c>
      <c r="E25" s="10" t="s">
        <v>60</v>
      </c>
      <c r="F25" s="10" t="s">
        <v>19</v>
      </c>
      <c r="G25" s="11"/>
      <c r="H25" s="11"/>
      <c r="I25" s="11">
        <v>8</v>
      </c>
      <c r="J25" s="12">
        <f>IF(AND(ISNUMBER(G25),ISNUMBER(H25)),H25-G25,IF(ISNUMBER(I25),I25,""))</f>
        <v>8</v>
      </c>
      <c r="K25" s="13"/>
      <c r="L25" s="14">
        <f>IF(AND(F25="Business",ISNUMBER(J25)),ROUND(J25*Summary!$C$8,2),"")</f>
        <v>5.6</v>
      </c>
      <c r="M25" s="10"/>
    </row>
    <row r="26" ht="17" customHeight="1" spans="2:13" x14ac:dyDescent="0.25">
      <c r="B26" s="9">
        <v>46242</v>
      </c>
      <c r="C26" s="10" t="s">
        <v>61</v>
      </c>
      <c r="D26" s="10" t="s">
        <v>24</v>
      </c>
      <c r="E26" s="10" t="s">
        <v>62</v>
      </c>
      <c r="F26" s="10" t="s">
        <v>26</v>
      </c>
      <c r="G26" s="11">
        <v>41034</v>
      </c>
      <c r="H26" s="11">
        <v>41248</v>
      </c>
      <c r="I26" s="11"/>
      <c r="J26" s="12">
        <f>IF(AND(ISNUMBER(G26),ISNUMBER(H26)),H26-G26,IF(ISNUMBER(I26),I26,""))</f>
        <v>214</v>
      </c>
      <c r="K26" s="13"/>
      <c r="L26" s="14" t="str">
        <f>IF(AND(F26="Business",ISNUMBER(J26)),ROUND(J26*Summary!$C$8,2),"")</f>
        <v/>
      </c>
      <c r="M26" s="10"/>
    </row>
    <row r="27" ht="17" customHeight="1" spans="2:13" x14ac:dyDescent="0.25">
      <c r="B27" s="9">
        <v>46250</v>
      </c>
      <c r="C27" s="10" t="s">
        <v>63</v>
      </c>
      <c r="D27" s="10" t="s">
        <v>17</v>
      </c>
      <c r="E27" s="10" t="s">
        <v>43</v>
      </c>
      <c r="F27" s="10" t="s">
        <v>19</v>
      </c>
      <c r="G27" s="11">
        <v>41299</v>
      </c>
      <c r="H27" s="11">
        <v>41326</v>
      </c>
      <c r="I27" s="11"/>
      <c r="J27" s="12">
        <f>IF(AND(ISNUMBER(G27),ISNUMBER(H27)),H27-G27,IF(ISNUMBER(I27),I27,""))</f>
        <v>27</v>
      </c>
      <c r="K27" s="13"/>
      <c r="L27" s="14">
        <f>IF(AND(F27="Business",ISNUMBER(J27)),ROUND(J27*Summary!$C$8,2),"")</f>
        <v>18.9</v>
      </c>
      <c r="M27" s="10"/>
    </row>
    <row r="28" ht="17" customHeight="1" spans="2:13" x14ac:dyDescent="0.25">
      <c r="B28" s="9">
        <v>46262</v>
      </c>
      <c r="C28" s="10" t="s">
        <v>64</v>
      </c>
      <c r="D28" s="10" t="s">
        <v>17</v>
      </c>
      <c r="E28" s="10" t="s">
        <v>41</v>
      </c>
      <c r="F28" s="10" t="s">
        <v>19</v>
      </c>
      <c r="G28" s="11">
        <v>41436</v>
      </c>
      <c r="H28" s="11">
        <v>41452</v>
      </c>
      <c r="I28" s="11"/>
      <c r="J28" s="12">
        <f>IF(AND(ISNUMBER(G28),ISNUMBER(H28)),H28-G28,IF(ISNUMBER(I28),I28,""))</f>
        <v>16</v>
      </c>
      <c r="K28" s="13"/>
      <c r="L28" s="14">
        <f>IF(AND(F28="Business",ISNUMBER(J28)),ROUND(J28*Summary!$C$8,2),"")</f>
        <v>11.2</v>
      </c>
      <c r="M28" s="10"/>
    </row>
    <row r="29" ht="17" customHeight="1" spans="2:13" x14ac:dyDescent="0.25">
      <c r="B29" s="9">
        <v>46270</v>
      </c>
      <c r="C29" s="10" t="s">
        <v>65</v>
      </c>
      <c r="D29" s="10" t="s">
        <v>17</v>
      </c>
      <c r="E29" s="10" t="s">
        <v>45</v>
      </c>
      <c r="F29" s="10" t="s">
        <v>19</v>
      </c>
      <c r="G29" s="11">
        <v>41546</v>
      </c>
      <c r="H29" s="11">
        <v>41610</v>
      </c>
      <c r="I29" s="11"/>
      <c r="J29" s="12">
        <f>IF(AND(ISNUMBER(G29),ISNUMBER(H29)),H29-G29,IF(ISNUMBER(I29),I29,""))</f>
        <v>64</v>
      </c>
      <c r="K29" s="13">
        <v>12</v>
      </c>
      <c r="L29" s="14">
        <f>IF(AND(F29="Business",ISNUMBER(J29)),ROUND(J29*Summary!$C$8,2),"")</f>
        <v>44.8</v>
      </c>
      <c r="M29" s="10" t="s">
        <v>46</v>
      </c>
    </row>
    <row r="30" ht="17" customHeight="1" spans="2:13" x14ac:dyDescent="0.25">
      <c r="B30" s="9">
        <v>46277</v>
      </c>
      <c r="C30" s="10" t="s">
        <v>27</v>
      </c>
      <c r="D30" s="10" t="s">
        <v>17</v>
      </c>
      <c r="E30" s="10" t="s">
        <v>28</v>
      </c>
      <c r="F30" s="10" t="s">
        <v>19</v>
      </c>
      <c r="G30" s="11"/>
      <c r="H30" s="11"/>
      <c r="I30" s="11">
        <v>11</v>
      </c>
      <c r="J30" s="12">
        <f>IF(AND(ISNUMBER(G30),ISNUMBER(H30)),H30-G30,IF(ISNUMBER(I30),I30,""))</f>
        <v>11</v>
      </c>
      <c r="K30" s="13"/>
      <c r="L30" s="14">
        <f>IF(AND(F30="Business",ISNUMBER(J30)),ROUND(J30*Summary!$C$8,2),"")</f>
        <v>7.7</v>
      </c>
      <c r="M30" s="10"/>
    </row>
    <row r="31" ht="17" customHeight="1" spans="2:13" x14ac:dyDescent="0.25">
      <c r="B31" s="9">
        <v>46283</v>
      </c>
      <c r="C31" s="10" t="s">
        <v>66</v>
      </c>
      <c r="D31" s="10" t="s">
        <v>17</v>
      </c>
      <c r="E31" s="10" t="s">
        <v>67</v>
      </c>
      <c r="F31" s="10" t="s">
        <v>19</v>
      </c>
      <c r="G31" s="11">
        <v>41813</v>
      </c>
      <c r="H31" s="11">
        <v>41851</v>
      </c>
      <c r="I31" s="11"/>
      <c r="J31" s="12">
        <f>IF(AND(ISNUMBER(G31),ISNUMBER(H31)),H31-G31,IF(ISNUMBER(I31),I31,""))</f>
        <v>38</v>
      </c>
      <c r="K31" s="13"/>
      <c r="L31" s="14">
        <f>IF(AND(F31="Business",ISNUMBER(J31)),ROUND(J31*Summary!$C$8,2),"")</f>
        <v>26.6</v>
      </c>
      <c r="M31" s="10"/>
    </row>
    <row r="32" ht="17" customHeight="1" spans="2:13" x14ac:dyDescent="0.25">
      <c r="B32" s="9">
        <v>46289</v>
      </c>
      <c r="C32" s="10" t="s">
        <v>68</v>
      </c>
      <c r="D32" s="10" t="s">
        <v>17</v>
      </c>
      <c r="E32" s="10" t="s">
        <v>69</v>
      </c>
      <c r="F32" s="10" t="s">
        <v>19</v>
      </c>
      <c r="G32" s="11">
        <v>41963</v>
      </c>
      <c r="H32" s="11">
        <v>41982</v>
      </c>
      <c r="I32" s="11"/>
      <c r="J32" s="12">
        <f>IF(AND(ISNUMBER(G32),ISNUMBER(H32)),H32-G32,IF(ISNUMBER(I32),I32,""))</f>
        <v>19</v>
      </c>
      <c r="K32" s="13"/>
      <c r="L32" s="14">
        <f>IF(AND(F32="Business",ISNUMBER(J32)),ROUND(J32*Summary!$C$8,2),"")</f>
        <v>13.3</v>
      </c>
      <c r="M32" s="10"/>
    </row>
    <row r="33" ht="17" customHeight="1" spans="2:13" x14ac:dyDescent="0.25">
      <c r="B33" s="9">
        <v>46292</v>
      </c>
      <c r="C33" s="10" t="s">
        <v>70</v>
      </c>
      <c r="D33" s="10" t="s">
        <v>24</v>
      </c>
      <c r="E33" s="10" t="s">
        <v>71</v>
      </c>
      <c r="F33" s="10" t="s">
        <v>26</v>
      </c>
      <c r="G33" s="11"/>
      <c r="H33" s="11"/>
      <c r="I33" s="11">
        <v>26</v>
      </c>
      <c r="J33" s="12">
        <f>IF(AND(ISNUMBER(G33),ISNUMBER(H33)),H33-G33,IF(ISNUMBER(I33),I33,""))</f>
        <v>26</v>
      </c>
      <c r="K33" s="13"/>
      <c r="L33" s="14" t="str">
        <f>IF(AND(F33="Business",ISNUMBER(J33)),ROUND(J33*Summary!$C$8,2),"")</f>
        <v/>
      </c>
      <c r="M33" s="10"/>
    </row>
    <row r="34" ht="17" customHeight="1" spans="2:13" x14ac:dyDescent="0.25">
      <c r="B34" s="9">
        <v>46298</v>
      </c>
      <c r="C34" s="10" t="s">
        <v>72</v>
      </c>
      <c r="D34" s="10" t="s">
        <v>17</v>
      </c>
      <c r="E34" s="10" t="s">
        <v>57</v>
      </c>
      <c r="F34" s="10" t="s">
        <v>19</v>
      </c>
      <c r="G34" s="11">
        <v>42131</v>
      </c>
      <c r="H34" s="11">
        <v>42188</v>
      </c>
      <c r="I34" s="11"/>
      <c r="J34" s="12">
        <f>IF(AND(ISNUMBER(G34),ISNUMBER(H34)),H34-G34,IF(ISNUMBER(I34),I34,""))</f>
        <v>57</v>
      </c>
      <c r="K34" s="13">
        <v>15</v>
      </c>
      <c r="L34" s="14">
        <f>IF(AND(F34="Business",ISNUMBER(J34)),ROUND(J34*Summary!$C$8,2),"")</f>
        <v>39.9</v>
      </c>
      <c r="M34" s="10" t="s">
        <v>58</v>
      </c>
    </row>
    <row r="35" ht="17" customHeight="1" spans="2:13" x14ac:dyDescent="0.25">
      <c r="B35" s="9">
        <v>46302</v>
      </c>
      <c r="C35" s="10" t="s">
        <v>32</v>
      </c>
      <c r="D35" s="10" t="s">
        <v>17</v>
      </c>
      <c r="E35" s="10" t="s">
        <v>33</v>
      </c>
      <c r="F35" s="10" t="s">
        <v>19</v>
      </c>
      <c r="G35" s="11"/>
      <c r="H35" s="11"/>
      <c r="I35" s="11">
        <v>6</v>
      </c>
      <c r="J35" s="12">
        <f>IF(AND(ISNUMBER(G35),ISNUMBER(H35)),H35-G35,IF(ISNUMBER(I35),I35,""))</f>
        <v>6</v>
      </c>
      <c r="K35" s="13"/>
      <c r="L35" s="14">
        <f>IF(AND(F35="Business",ISNUMBER(J35)),ROUND(J35*Summary!$C$8,2),"")</f>
        <v>4.2</v>
      </c>
      <c r="M35" s="10"/>
    </row>
    <row r="36" ht="17" customHeight="1" spans="2:13" x14ac:dyDescent="0.25">
      <c r="B36" s="9">
        <v>46305</v>
      </c>
      <c r="C36" s="10" t="s">
        <v>73</v>
      </c>
      <c r="D36" s="10" t="s">
        <v>17</v>
      </c>
      <c r="E36" s="10" t="s">
        <v>35</v>
      </c>
      <c r="F36" s="10" t="s">
        <v>19</v>
      </c>
      <c r="G36" s="11">
        <v>42434</v>
      </c>
      <c r="H36" s="11">
        <v>42452</v>
      </c>
      <c r="I36" s="11"/>
      <c r="J36" s="12">
        <f>IF(AND(ISNUMBER(G36),ISNUMBER(H36)),H36-G36,IF(ISNUMBER(I36),I36,""))</f>
        <v>18</v>
      </c>
      <c r="K36" s="13">
        <v>5</v>
      </c>
      <c r="L36" s="14">
        <f>IF(AND(F36="Business",ISNUMBER(J36)),ROUND(J36*Summary!$C$8,2),"")</f>
        <v>12.6</v>
      </c>
      <c r="M36" s="10"/>
    </row>
    <row r="37" ht="17" customHeight="1" spans="2:13" x14ac:dyDescent="0.25">
      <c r="B37" s="9">
        <v>46309</v>
      </c>
      <c r="C37" s="10" t="s">
        <v>74</v>
      </c>
      <c r="D37" s="10" t="s">
        <v>17</v>
      </c>
      <c r="E37" s="10" t="s">
        <v>21</v>
      </c>
      <c r="F37" s="10" t="s">
        <v>19</v>
      </c>
      <c r="G37" s="11">
        <v>42566</v>
      </c>
      <c r="H37" s="11">
        <v>42588</v>
      </c>
      <c r="I37" s="11"/>
      <c r="J37" s="12">
        <f>IF(AND(ISNUMBER(G37),ISNUMBER(H37)),H37-G37,IF(ISNUMBER(I37),I37,""))</f>
        <v>22</v>
      </c>
      <c r="K37" s="13">
        <v>9</v>
      </c>
      <c r="L37" s="14">
        <f>IF(AND(F37="Business",ISNUMBER(J37)),ROUND(J37*Summary!$C$8,2),"")</f>
        <v>15.4</v>
      </c>
      <c r="M37" s="10" t="s">
        <v>22</v>
      </c>
    </row>
    <row r="38" ht="17" customHeight="1" spans="2:13" x14ac:dyDescent="0.25">
      <c r="B38" s="9">
        <v>46311</v>
      </c>
      <c r="C38" s="10" t="s">
        <v>75</v>
      </c>
      <c r="D38" s="10" t="s">
        <v>24</v>
      </c>
      <c r="E38" s="10" t="s">
        <v>76</v>
      </c>
      <c r="F38" s="10" t="s">
        <v>26</v>
      </c>
      <c r="G38" s="11"/>
      <c r="H38" s="11"/>
      <c r="I38" s="11">
        <v>12</v>
      </c>
      <c r="J38" s="12">
        <f>IF(AND(ISNUMBER(G38),ISNUMBER(H38)),H38-G38,IF(ISNUMBER(I38),I38,""))</f>
        <v>12</v>
      </c>
      <c r="K38" s="13"/>
      <c r="L38" s="14" t="str">
        <f>IF(AND(F38="Business",ISNUMBER(J38)),ROUND(J38*Summary!$C$8,2),"")</f>
        <v/>
      </c>
      <c r="M38" s="10"/>
    </row>
    <row r="39" ht="17" customHeight="1" spans="2:13" x14ac:dyDescent="0.25">
      <c r="B39" s="9"/>
      <c r="C39" s="10"/>
      <c r="D39" s="10"/>
      <c r="E39" s="10"/>
      <c r="F39" s="10"/>
      <c r="G39" s="11"/>
      <c r="H39" s="11"/>
      <c r="I39" s="11"/>
      <c r="J39" s="12" t="str">
        <f>IF(AND(ISNUMBER(G39),ISNUMBER(H39)),H39-G39,IF(ISNUMBER(I39),I39,""))</f>
        <v/>
      </c>
      <c r="K39" s="13"/>
      <c r="L39" s="14" t="str">
        <f>IF(AND(F39="Business",ISNUMBER(J39)),ROUND(J39*Summary!$C$8,2),"")</f>
        <v/>
      </c>
      <c r="M39" s="10"/>
    </row>
    <row r="40" ht="17" customHeight="1" spans="2:13" x14ac:dyDescent="0.25">
      <c r="B40" s="9"/>
      <c r="C40" s="10"/>
      <c r="D40" s="10"/>
      <c r="E40" s="10"/>
      <c r="F40" s="10"/>
      <c r="G40" s="11"/>
      <c r="H40" s="11"/>
      <c r="I40" s="11"/>
      <c r="J40" s="12" t="str">
        <f>IF(AND(ISNUMBER(G40),ISNUMBER(H40)),H40-G40,IF(ISNUMBER(I40),I40,""))</f>
        <v/>
      </c>
      <c r="K40" s="13"/>
      <c r="L40" s="14" t="str">
        <f>IF(AND(F40="Business",ISNUMBER(J40)),ROUND(J40*Summary!$C$8,2),"")</f>
        <v/>
      </c>
      <c r="M40" s="10"/>
    </row>
    <row r="41" ht="17" customHeight="1" spans="2:13" x14ac:dyDescent="0.25">
      <c r="B41" s="9"/>
      <c r="C41" s="10"/>
      <c r="D41" s="10"/>
      <c r="E41" s="10"/>
      <c r="F41" s="10"/>
      <c r="G41" s="11"/>
      <c r="H41" s="11"/>
      <c r="I41" s="11"/>
      <c r="J41" s="12" t="str">
        <f>IF(AND(ISNUMBER(G41),ISNUMBER(H41)),H41-G41,IF(ISNUMBER(I41),I41,""))</f>
        <v/>
      </c>
      <c r="K41" s="13"/>
      <c r="L41" s="14" t="str">
        <f>IF(AND(F41="Business",ISNUMBER(J41)),ROUND(J41*Summary!$C$8,2),"")</f>
        <v/>
      </c>
      <c r="M41" s="10"/>
    </row>
    <row r="42" ht="17" customHeight="1" spans="2:13" x14ac:dyDescent="0.25">
      <c r="B42" s="9"/>
      <c r="C42" s="10"/>
      <c r="D42" s="10"/>
      <c r="E42" s="10"/>
      <c r="F42" s="10"/>
      <c r="G42" s="11"/>
      <c r="H42" s="11"/>
      <c r="I42" s="11"/>
      <c r="J42" s="12" t="str">
        <f>IF(AND(ISNUMBER(G42),ISNUMBER(H42)),H42-G42,IF(ISNUMBER(I42),I42,""))</f>
        <v/>
      </c>
      <c r="K42" s="13"/>
      <c r="L42" s="14" t="str">
        <f>IF(AND(F42="Business",ISNUMBER(J42)),ROUND(J42*Summary!$C$8,2),"")</f>
        <v/>
      </c>
      <c r="M42" s="10"/>
    </row>
    <row r="43" ht="17" customHeight="1" spans="2:13" x14ac:dyDescent="0.25">
      <c r="B43" s="9"/>
      <c r="C43" s="10"/>
      <c r="D43" s="10"/>
      <c r="E43" s="10"/>
      <c r="F43" s="10"/>
      <c r="G43" s="11"/>
      <c r="H43" s="11"/>
      <c r="I43" s="11"/>
      <c r="J43" s="12" t="str">
        <f>IF(AND(ISNUMBER(G43),ISNUMBER(H43)),H43-G43,IF(ISNUMBER(I43),I43,""))</f>
        <v/>
      </c>
      <c r="K43" s="13"/>
      <c r="L43" s="14" t="str">
        <f>IF(AND(F43="Business",ISNUMBER(J43)),ROUND(J43*Summary!$C$8,2),"")</f>
        <v/>
      </c>
      <c r="M43" s="10"/>
    </row>
    <row r="44" ht="17" customHeight="1" spans="2:13" x14ac:dyDescent="0.25">
      <c r="B44" s="9"/>
      <c r="C44" s="10"/>
      <c r="D44" s="10"/>
      <c r="E44" s="10"/>
      <c r="F44" s="10"/>
      <c r="G44" s="11"/>
      <c r="H44" s="11"/>
      <c r="I44" s="11"/>
      <c r="J44" s="12" t="str">
        <f>IF(AND(ISNUMBER(G44),ISNUMBER(H44)),H44-G44,IF(ISNUMBER(I44),I44,""))</f>
        <v/>
      </c>
      <c r="K44" s="13"/>
      <c r="L44" s="14" t="str">
        <f>IF(AND(F44="Business",ISNUMBER(J44)),ROUND(J44*Summary!$C$8,2),"")</f>
        <v/>
      </c>
      <c r="M44" s="10"/>
    </row>
    <row r="45" ht="17" customHeight="1" spans="2:13" x14ac:dyDescent="0.25">
      <c r="B45" s="9"/>
      <c r="C45" s="10"/>
      <c r="D45" s="10"/>
      <c r="E45" s="10"/>
      <c r="F45" s="10"/>
      <c r="G45" s="11"/>
      <c r="H45" s="11"/>
      <c r="I45" s="11"/>
      <c r="J45" s="12" t="str">
        <f>IF(AND(ISNUMBER(G45),ISNUMBER(H45)),H45-G45,IF(ISNUMBER(I45),I45,""))</f>
        <v/>
      </c>
      <c r="K45" s="13"/>
      <c r="L45" s="14" t="str">
        <f>IF(AND(F45="Business",ISNUMBER(J45)),ROUND(J45*Summary!$C$8,2),"")</f>
        <v/>
      </c>
      <c r="M45" s="10"/>
    </row>
    <row r="46" ht="17" customHeight="1" spans="2:13" x14ac:dyDescent="0.25">
      <c r="B46" s="9"/>
      <c r="C46" s="10"/>
      <c r="D46" s="10"/>
      <c r="E46" s="10"/>
      <c r="F46" s="10"/>
      <c r="G46" s="11"/>
      <c r="H46" s="11"/>
      <c r="I46" s="11"/>
      <c r="J46" s="12" t="str">
        <f>IF(AND(ISNUMBER(G46),ISNUMBER(H46)),H46-G46,IF(ISNUMBER(I46),I46,""))</f>
        <v/>
      </c>
      <c r="K46" s="13"/>
      <c r="L46" s="14" t="str">
        <f>IF(AND(F46="Business",ISNUMBER(J46)),ROUND(J46*Summary!$C$8,2),"")</f>
        <v/>
      </c>
      <c r="M46" s="10"/>
    </row>
    <row r="47" ht="17" customHeight="1" spans="2:13" x14ac:dyDescent="0.25">
      <c r="B47" s="9"/>
      <c r="C47" s="10"/>
      <c r="D47" s="10"/>
      <c r="E47" s="10"/>
      <c r="F47" s="10"/>
      <c r="G47" s="11"/>
      <c r="H47" s="11"/>
      <c r="I47" s="11"/>
      <c r="J47" s="12" t="str">
        <f>IF(AND(ISNUMBER(G47),ISNUMBER(H47)),H47-G47,IF(ISNUMBER(I47),I47,""))</f>
        <v/>
      </c>
      <c r="K47" s="13"/>
      <c r="L47" s="14" t="str">
        <f>IF(AND(F47="Business",ISNUMBER(J47)),ROUND(J47*Summary!$C$8,2),"")</f>
        <v/>
      </c>
      <c r="M47" s="10"/>
    </row>
    <row r="48" ht="17" customHeight="1" spans="2:13" x14ac:dyDescent="0.25">
      <c r="B48" s="9"/>
      <c r="C48" s="10"/>
      <c r="D48" s="10"/>
      <c r="E48" s="10"/>
      <c r="F48" s="10"/>
      <c r="G48" s="11"/>
      <c r="H48" s="11"/>
      <c r="I48" s="11"/>
      <c r="J48" s="12" t="str">
        <f>IF(AND(ISNUMBER(G48),ISNUMBER(H48)),H48-G48,IF(ISNUMBER(I48),I48,""))</f>
        <v/>
      </c>
      <c r="K48" s="13"/>
      <c r="L48" s="14" t="str">
        <f>IF(AND(F48="Business",ISNUMBER(J48)),ROUND(J48*Summary!$C$8,2),"")</f>
        <v/>
      </c>
      <c r="M48" s="10"/>
    </row>
    <row r="49" ht="17" customHeight="1" spans="2:13" x14ac:dyDescent="0.25">
      <c r="B49" s="9"/>
      <c r="C49" s="10"/>
      <c r="D49" s="10"/>
      <c r="E49" s="10"/>
      <c r="F49" s="10"/>
      <c r="G49" s="11"/>
      <c r="H49" s="11"/>
      <c r="I49" s="11"/>
      <c r="J49" s="12" t="str">
        <f>IF(AND(ISNUMBER(G49),ISNUMBER(H49)),H49-G49,IF(ISNUMBER(I49),I49,""))</f>
        <v/>
      </c>
      <c r="K49" s="13"/>
      <c r="L49" s="14" t="str">
        <f>IF(AND(F49="Business",ISNUMBER(J49)),ROUND(J49*Summary!$C$8,2),"")</f>
        <v/>
      </c>
      <c r="M49" s="10"/>
    </row>
    <row r="50" ht="17" customHeight="1" spans="2:13" x14ac:dyDescent="0.25">
      <c r="B50" s="9"/>
      <c r="C50" s="10"/>
      <c r="D50" s="10"/>
      <c r="E50" s="10"/>
      <c r="F50" s="10"/>
      <c r="G50" s="11"/>
      <c r="H50" s="11"/>
      <c r="I50" s="11"/>
      <c r="J50" s="12" t="str">
        <f>IF(AND(ISNUMBER(G50),ISNUMBER(H50)),H50-G50,IF(ISNUMBER(I50),I50,""))</f>
        <v/>
      </c>
      <c r="K50" s="13"/>
      <c r="L50" s="14" t="str">
        <f>IF(AND(F50="Business",ISNUMBER(J50)),ROUND(J50*Summary!$C$8,2),"")</f>
        <v/>
      </c>
      <c r="M50" s="10"/>
    </row>
    <row r="51" ht="17" customHeight="1" spans="2:13" x14ac:dyDescent="0.25">
      <c r="B51" s="9"/>
      <c r="C51" s="10"/>
      <c r="D51" s="10"/>
      <c r="E51" s="10"/>
      <c r="F51" s="10"/>
      <c r="G51" s="11"/>
      <c r="H51" s="11"/>
      <c r="I51" s="11"/>
      <c r="J51" s="12" t="str">
        <f>IF(AND(ISNUMBER(G51),ISNUMBER(H51)),H51-G51,IF(ISNUMBER(I51),I51,""))</f>
        <v/>
      </c>
      <c r="K51" s="13"/>
      <c r="L51" s="14" t="str">
        <f>IF(AND(F51="Business",ISNUMBER(J51)),ROUND(J51*Summary!$C$8,2),"")</f>
        <v/>
      </c>
      <c r="M51" s="10"/>
    </row>
    <row r="52" ht="17" customHeight="1" spans="2:13" x14ac:dyDescent="0.25">
      <c r="B52" s="9"/>
      <c r="C52" s="10"/>
      <c r="D52" s="10"/>
      <c r="E52" s="10"/>
      <c r="F52" s="10"/>
      <c r="G52" s="11"/>
      <c r="H52" s="11"/>
      <c r="I52" s="11"/>
      <c r="J52" s="12" t="str">
        <f>IF(AND(ISNUMBER(G52),ISNUMBER(H52)),H52-G52,IF(ISNUMBER(I52),I52,""))</f>
        <v/>
      </c>
      <c r="K52" s="13"/>
      <c r="L52" s="14" t="str">
        <f>IF(AND(F52="Business",ISNUMBER(J52)),ROUND(J52*Summary!$C$8,2),"")</f>
        <v/>
      </c>
      <c r="M52" s="10"/>
    </row>
    <row r="53" ht="17" customHeight="1" spans="2:13" x14ac:dyDescent="0.25">
      <c r="B53" s="9"/>
      <c r="C53" s="10"/>
      <c r="D53" s="10"/>
      <c r="E53" s="10"/>
      <c r="F53" s="10"/>
      <c r="G53" s="11"/>
      <c r="H53" s="11"/>
      <c r="I53" s="11"/>
      <c r="J53" s="12" t="str">
        <f>IF(AND(ISNUMBER(G53),ISNUMBER(H53)),H53-G53,IF(ISNUMBER(I53),I53,""))</f>
        <v/>
      </c>
      <c r="K53" s="13"/>
      <c r="L53" s="14" t="str">
        <f>IF(AND(F53="Business",ISNUMBER(J53)),ROUND(J53*Summary!$C$8,2),"")</f>
        <v/>
      </c>
      <c r="M53" s="10"/>
    </row>
    <row r="54" ht="17" customHeight="1" spans="2:13" x14ac:dyDescent="0.25">
      <c r="B54" s="9"/>
      <c r="C54" s="10"/>
      <c r="D54" s="10"/>
      <c r="E54" s="10"/>
      <c r="F54" s="10"/>
      <c r="G54" s="11"/>
      <c r="H54" s="11"/>
      <c r="I54" s="11"/>
      <c r="J54" s="12" t="str">
        <f>IF(AND(ISNUMBER(G54),ISNUMBER(H54)),H54-G54,IF(ISNUMBER(I54),I54,""))</f>
        <v/>
      </c>
      <c r="K54" s="13"/>
      <c r="L54" s="14" t="str">
        <f>IF(AND(F54="Business",ISNUMBER(J54)),ROUND(J54*Summary!$C$8,2),"")</f>
        <v/>
      </c>
      <c r="M54" s="10"/>
    </row>
    <row r="55" ht="17" customHeight="1" spans="2:13" x14ac:dyDescent="0.25">
      <c r="B55" s="9"/>
      <c r="C55" s="10"/>
      <c r="D55" s="10"/>
      <c r="E55" s="10"/>
      <c r="F55" s="10"/>
      <c r="G55" s="11"/>
      <c r="H55" s="11"/>
      <c r="I55" s="11"/>
      <c r="J55" s="12" t="str">
        <f>IF(AND(ISNUMBER(G55),ISNUMBER(H55)),H55-G55,IF(ISNUMBER(I55),I55,""))</f>
        <v/>
      </c>
      <c r="K55" s="13"/>
      <c r="L55" s="14" t="str">
        <f>IF(AND(F55="Business",ISNUMBER(J55)),ROUND(J55*Summary!$C$8,2),"")</f>
        <v/>
      </c>
      <c r="M55" s="10"/>
    </row>
    <row r="56" ht="17" customHeight="1" spans="2:13" x14ac:dyDescent="0.25">
      <c r="B56" s="9"/>
      <c r="C56" s="10"/>
      <c r="D56" s="10"/>
      <c r="E56" s="10"/>
      <c r="F56" s="10"/>
      <c r="G56" s="11"/>
      <c r="H56" s="11"/>
      <c r="I56" s="11"/>
      <c r="J56" s="11"/>
      <c r="K56" s="13"/>
      <c r="L56" s="13"/>
      <c r="M56" s="10"/>
    </row>
    <row r="57" ht="17" customHeight="1" spans="2:13" x14ac:dyDescent="0.25">
      <c r="B57" s="9"/>
      <c r="C57" s="10"/>
      <c r="D57" s="10"/>
      <c r="E57" s="10"/>
      <c r="F57" s="10"/>
      <c r="G57" s="11"/>
      <c r="H57" s="11"/>
      <c r="I57" s="11"/>
      <c r="J57" s="11"/>
      <c r="K57" s="13"/>
      <c r="L57" s="13"/>
      <c r="M57" s="10"/>
    </row>
    <row r="58" ht="17" customHeight="1" spans="2:13" x14ac:dyDescent="0.25">
      <c r="B58" s="9"/>
      <c r="C58" s="10"/>
      <c r="D58" s="10"/>
      <c r="E58" s="10"/>
      <c r="F58" s="10"/>
      <c r="G58" s="11"/>
      <c r="H58" s="11"/>
      <c r="I58" s="11"/>
      <c r="J58" s="11"/>
      <c r="K58" s="13"/>
      <c r="L58" s="13"/>
      <c r="M58" s="10"/>
    </row>
    <row r="59" ht="17" customHeight="1" spans="2:13" x14ac:dyDescent="0.25">
      <c r="B59" s="9"/>
      <c r="C59" s="10"/>
      <c r="D59" s="10"/>
      <c r="E59" s="10"/>
      <c r="F59" s="10"/>
      <c r="G59" s="11"/>
      <c r="H59" s="11"/>
      <c r="I59" s="11"/>
      <c r="J59" s="11"/>
      <c r="K59" s="13"/>
      <c r="L59" s="13"/>
      <c r="M59" s="10"/>
    </row>
    <row r="60" ht="17" customHeight="1" spans="2:13" x14ac:dyDescent="0.25">
      <c r="B60" s="9"/>
      <c r="C60" s="10"/>
      <c r="D60" s="10"/>
      <c r="E60" s="10"/>
      <c r="F60" s="10"/>
      <c r="G60" s="11"/>
      <c r="H60" s="11"/>
      <c r="I60" s="11"/>
      <c r="J60" s="11"/>
      <c r="K60" s="13"/>
      <c r="L60" s="13"/>
      <c r="M60" s="10"/>
    </row>
    <row r="61" ht="17" customHeight="1" spans="2:13" x14ac:dyDescent="0.25">
      <c r="B61" s="9"/>
      <c r="C61" s="10"/>
      <c r="D61" s="10"/>
      <c r="E61" s="10"/>
      <c r="F61" s="10"/>
      <c r="G61" s="11"/>
      <c r="H61" s="11"/>
      <c r="I61" s="11"/>
      <c r="J61" s="11"/>
      <c r="K61" s="13"/>
      <c r="L61" s="13"/>
      <c r="M61" s="10"/>
    </row>
    <row r="62" ht="17" customHeight="1" spans="2:13" x14ac:dyDescent="0.25">
      <c r="B62" s="9"/>
      <c r="C62" s="10"/>
      <c r="D62" s="10"/>
      <c r="E62" s="10"/>
      <c r="F62" s="10"/>
      <c r="G62" s="11"/>
      <c r="H62" s="11"/>
      <c r="I62" s="11"/>
      <c r="J62" s="11"/>
      <c r="K62" s="13"/>
      <c r="L62" s="13"/>
      <c r="M62" s="10"/>
    </row>
    <row r="63" ht="17" customHeight="1" spans="2:13" x14ac:dyDescent="0.25">
      <c r="B63" s="9"/>
      <c r="C63" s="10"/>
      <c r="D63" s="10"/>
      <c r="E63" s="10"/>
      <c r="F63" s="10"/>
      <c r="G63" s="11"/>
      <c r="H63" s="11"/>
      <c r="I63" s="11"/>
      <c r="J63" s="11"/>
      <c r="K63" s="13"/>
      <c r="L63" s="13"/>
      <c r="M63" s="10"/>
    </row>
    <row r="64" ht="17" customHeight="1" spans="2:13" x14ac:dyDescent="0.25">
      <c r="B64" s="9"/>
      <c r="C64" s="10"/>
      <c r="D64" s="10"/>
      <c r="E64" s="10"/>
      <c r="F64" s="10"/>
      <c r="G64" s="11"/>
      <c r="H64" s="11"/>
      <c r="I64" s="11"/>
      <c r="J64" s="11"/>
      <c r="K64" s="13"/>
      <c r="L64" s="13"/>
      <c r="M64" s="10"/>
    </row>
    <row r="65" ht="17" customHeight="1" spans="2:13" x14ac:dyDescent="0.25">
      <c r="B65" s="9"/>
      <c r="C65" s="10"/>
      <c r="D65" s="10"/>
      <c r="E65" s="10"/>
      <c r="F65" s="10"/>
      <c r="G65" s="11"/>
      <c r="H65" s="11"/>
      <c r="I65" s="11"/>
      <c r="J65" s="11"/>
      <c r="K65" s="13"/>
      <c r="L65" s="13"/>
      <c r="M65" s="10"/>
    </row>
  </sheetData>
  <mergeCells count="3">
    <mergeCell ref="K1:M1"/>
    <mergeCell ref="B2:J2"/>
    <mergeCell ref="K2:M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F30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36" customWidth="1"/>
    <col min="3" max="3" width="22" customWidth="1"/>
    <col min="4" max="6" width="12" customWidth="1"/>
  </cols>
  <sheetData>
    <row r="1" ht="34" customHeight="1" spans="2:6" x14ac:dyDescent="0.25">
      <c r="B1" s="1" t="s">
        <v>77</v>
      </c>
      <c r="D1" s="2" t="s">
        <v>1</v>
      </c>
      <c r="E1" s="2"/>
      <c r="F1" s="2"/>
    </row>
    <row r="2" ht="28" customHeight="1" spans="2:6" x14ac:dyDescent="0.25">
      <c r="B2" s="3" t="s">
        <v>78</v>
      </c>
      <c r="C2" s="3"/>
      <c r="D2" s="4" t="s">
        <v>3</v>
      </c>
      <c r="E2" s="4"/>
      <c r="F2" s="4"/>
    </row>
    <row r="3" ht="4" customHeight="1" spans="2:6" x14ac:dyDescent="0.25">
      <c r="B3" s="5"/>
      <c r="C3" s="5"/>
      <c r="D3" s="5"/>
      <c r="E3" s="5"/>
      <c r="F3" s="5"/>
    </row>
    <row r="4" ht="10" customHeight="1" x14ac:dyDescent="0.25"/>
    <row r="5" ht="24" customHeight="1" spans="2:3" x14ac:dyDescent="0.25">
      <c r="B5" s="6" t="s">
        <v>79</v>
      </c>
      <c r="C5" s="8" t="s">
        <v>80</v>
      </c>
    </row>
    <row r="6" ht="17" customHeight="1" spans="2:3" x14ac:dyDescent="0.25">
      <c r="B6" s="10" t="s">
        <v>81</v>
      </c>
      <c r="C6" s="13" t="s">
        <v>82</v>
      </c>
    </row>
    <row r="7" ht="17" customHeight="1" spans="2:3" x14ac:dyDescent="0.25">
      <c r="B7" s="10" t="s">
        <v>83</v>
      </c>
      <c r="C7" s="13" t="s">
        <v>84</v>
      </c>
    </row>
    <row r="8" ht="17" customHeight="1" spans="2:3" x14ac:dyDescent="0.25">
      <c r="B8" s="10" t="s">
        <v>85</v>
      </c>
      <c r="C8" s="13">
        <v>0.7</v>
      </c>
    </row>
    <row r="9" ht="17" customHeight="1" spans="2:3" x14ac:dyDescent="0.25">
      <c r="B9" s="10" t="s">
        <v>86</v>
      </c>
      <c r="C9" s="15">
        <f>DATE(2026,1,1)</f>
        <v>46023</v>
      </c>
    </row>
    <row r="10" ht="17" customHeight="1" spans="2:3" x14ac:dyDescent="0.25">
      <c r="B10" s="10" t="s">
        <v>87</v>
      </c>
      <c r="C10" s="15">
        <f>DATE(YEAR(C9),12,31)</f>
        <v>46387</v>
      </c>
    </row>
    <row r="11" ht="17" customHeight="1" spans="2:3" x14ac:dyDescent="0.25">
      <c r="B11" s="10" t="s">
        <v>88</v>
      </c>
      <c r="C11" s="12">
        <f>COUNTIFS('Trip Log'!$B$6:$B$304,"&gt;="&amp;$C$9,'Trip Log'!$B$6:$B$304,"&lt;="&amp;$C$10)</f>
        <v>33</v>
      </c>
    </row>
    <row r="12" ht="17" customHeight="1" spans="2:3" x14ac:dyDescent="0.25">
      <c r="B12" s="10" t="s">
        <v>89</v>
      </c>
      <c r="C12" s="12">
        <f>COUNTIFS('Trip Log'!$F$6:$F$304,"Business",'Trip Log'!$B$6:$B$304,"&gt;="&amp;$C$9,'Trip Log'!$B$6:$B$304,"&lt;="&amp;$C$10)</f>
        <v>26</v>
      </c>
    </row>
    <row r="13" ht="17" customHeight="1" spans="2:3" x14ac:dyDescent="0.25">
      <c r="B13" s="10" t="s">
        <v>90</v>
      </c>
      <c r="C13" s="12">
        <f>SUMIFS('Trip Log'!$J$6:$J$304,'Trip Log'!$B$6:$B$304,"&gt;="&amp;$C$9,'Trip Log'!$B$6:$B$304,"&lt;="&amp;$C$10)</f>
        <v>1416</v>
      </c>
    </row>
    <row r="14" ht="17" customHeight="1" spans="2:3" x14ac:dyDescent="0.25">
      <c r="B14" s="10" t="s">
        <v>91</v>
      </c>
      <c r="C14" s="12">
        <f>SUMIFS('Trip Log'!$J$6:$J$304,'Trip Log'!$F$6:$F$304,"Business",'Trip Log'!$B$6:$B$304,"&gt;="&amp;$C$9,'Trip Log'!$B$6:$B$304,"&lt;="&amp;$C$10)</f>
        <v>714</v>
      </c>
    </row>
    <row r="15" ht="17" customHeight="1" spans="2:3" x14ac:dyDescent="0.25">
      <c r="B15" s="10" t="s">
        <v>92</v>
      </c>
      <c r="C15" s="12">
        <f>SUMIFS('Trip Log'!$J$6:$J$304,'Trip Log'!$F$6:$F$304,"Personal",'Trip Log'!$B$6:$B$304,"&gt;="&amp;$C$9,'Trip Log'!$B$6:$B$304,"&lt;="&amp;$C$10)</f>
        <v>702</v>
      </c>
    </row>
    <row r="16" ht="17" customHeight="1" spans="2:3" x14ac:dyDescent="0.25">
      <c r="B16" s="10" t="s">
        <v>93</v>
      </c>
      <c r="C16" s="16">
        <f>IF(C13&gt;0,C14/C13,0)</f>
        <v>0.5042372881355932</v>
      </c>
    </row>
    <row r="17" ht="17" customHeight="1" spans="2:3" x14ac:dyDescent="0.25">
      <c r="B17" s="10" t="s">
        <v>94</v>
      </c>
      <c r="C17" s="14">
        <f>ROUND(C14*C8,2)</f>
        <v>499.8</v>
      </c>
    </row>
    <row r="18" ht="17" customHeight="1" spans="2:3" x14ac:dyDescent="0.25">
      <c r="B18" s="10" t="s">
        <v>95</v>
      </c>
      <c r="C18" s="14">
        <f>SUMIFS('Trip Log'!$K$6:$K$304,'Trip Log'!$F$6:$F$304,"Business",'Trip Log'!$B$6:$B$304,"&gt;="&amp;$C$9,'Trip Log'!$B$6:$B$304,"&lt;="&amp;$C$10)</f>
        <v>82</v>
      </c>
    </row>
    <row r="19" ht="17" customHeight="1" spans="2:3" x14ac:dyDescent="0.25">
      <c r="B19" s="10" t="s">
        <v>96</v>
      </c>
      <c r="C19" s="14">
        <f>C17+C18</f>
        <v>581.8</v>
      </c>
    </row>
    <row r="20" ht="17" customHeight="1" spans="2:3" x14ac:dyDescent="0.25">
      <c r="B20" s="10" t="s">
        <v>97</v>
      </c>
      <c r="C20" s="12">
        <f>MAX('Trip Log'!$H$6:$H$304)</f>
        <v>42588</v>
      </c>
    </row>
    <row r="21" ht="17" customHeight="1" spans="2:3" x14ac:dyDescent="0.25">
      <c r="B21" s="10"/>
      <c r="C21" s="13"/>
    </row>
    <row r="22" ht="17" customHeight="1" spans="2:3" x14ac:dyDescent="0.25">
      <c r="B22" s="10"/>
      <c r="C22" s="13"/>
    </row>
    <row r="23" ht="17" customHeight="1" spans="2:3" x14ac:dyDescent="0.25">
      <c r="B23" s="10"/>
      <c r="C23" s="13"/>
    </row>
    <row r="24" ht="17" customHeight="1" spans="2:3" x14ac:dyDescent="0.25">
      <c r="B24" s="10"/>
      <c r="C24" s="13"/>
    </row>
    <row r="25" ht="17" customHeight="1" spans="2:3" x14ac:dyDescent="0.25">
      <c r="B25" s="10"/>
      <c r="C25" s="13"/>
    </row>
    <row r="26" ht="17" customHeight="1" spans="2:3" x14ac:dyDescent="0.25">
      <c r="B26" s="10"/>
      <c r="C26" s="13"/>
    </row>
    <row r="27" ht="17" customHeight="1" spans="2:3" x14ac:dyDescent="0.25">
      <c r="B27" s="10"/>
      <c r="C27" s="13"/>
    </row>
    <row r="28" ht="17" customHeight="1" spans="2:3" x14ac:dyDescent="0.25">
      <c r="B28" s="10"/>
      <c r="C28" s="13"/>
    </row>
    <row r="29" ht="17" customHeight="1" spans="2:3" x14ac:dyDescent="0.25">
      <c r="B29" s="10"/>
      <c r="C29" s="13"/>
    </row>
    <row r="30" ht="17" customHeight="1" spans="2:3" x14ac:dyDescent="0.25">
      <c r="B30" s="10"/>
      <c r="C30" s="13"/>
    </row>
  </sheetData>
  <mergeCells count="3">
    <mergeCell ref="D1:F1"/>
    <mergeCell ref="B2:C2"/>
    <mergeCell ref="D2:F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2B36"/>
    <pageSetUpPr fitToPage="1"/>
  </sheetPr>
  <dimension ref="B1:G18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16" customWidth="1"/>
    <col min="3" max="3" width="8" customWidth="1"/>
    <col min="4" max="5" width="11" customWidth="1"/>
    <col min="6" max="6" width="12" customWidth="1"/>
    <col min="7" max="7" width="11" customWidth="1"/>
  </cols>
  <sheetData>
    <row r="1" ht="34" customHeight="1" spans="2:7" x14ac:dyDescent="0.25">
      <c r="B1" s="1" t="s">
        <v>98</v>
      </c>
      <c r="E1" s="2" t="s">
        <v>1</v>
      </c>
      <c r="F1" s="2"/>
      <c r="G1" s="2"/>
    </row>
    <row r="2" ht="28" customHeight="1" spans="2:7" x14ac:dyDescent="0.25">
      <c r="B2" s="3" t="s">
        <v>99</v>
      </c>
      <c r="C2" s="3"/>
      <c r="D2" s="3"/>
      <c r="E2" s="4" t="s">
        <v>3</v>
      </c>
      <c r="F2" s="4"/>
      <c r="G2" s="4"/>
    </row>
    <row r="3" ht="4" customHeight="1" spans="2:7" x14ac:dyDescent="0.25">
      <c r="B3" s="5"/>
      <c r="C3" s="5"/>
      <c r="D3" s="5"/>
      <c r="E3" s="5"/>
      <c r="F3" s="5"/>
      <c r="G3" s="5"/>
    </row>
    <row r="4" ht="10" customHeight="1" x14ac:dyDescent="0.25"/>
    <row r="5" ht="30" customHeight="1" spans="2:7" x14ac:dyDescent="0.25">
      <c r="B5" s="6" t="s">
        <v>100</v>
      </c>
      <c r="C5" s="8" t="s">
        <v>101</v>
      </c>
      <c r="D5" s="7" t="s">
        <v>91</v>
      </c>
      <c r="E5" s="7" t="s">
        <v>92</v>
      </c>
      <c r="F5" s="7" t="s">
        <v>14</v>
      </c>
      <c r="G5" s="7" t="s">
        <v>13</v>
      </c>
    </row>
    <row r="6" ht="17" customHeight="1" spans="2:7" x14ac:dyDescent="0.25">
      <c r="B6" s="17">
        <f>Summary!$C$9</f>
        <v>46023</v>
      </c>
      <c r="C6" s="12">
        <f>COUNTIFS('Trip Log'!$B$6:$B$304,"&gt;="&amp;B6,'Trip Log'!$B$6:$B$304,"&lt;"&amp;DATE(YEAR(B6),MONTH(B6)+1,1))</f>
        <v>3</v>
      </c>
      <c r="D6" s="12">
        <f>SUMIFS('Trip Log'!$J$6:$J$304,'Trip Log'!$F$6:$F$304,"Business",'Trip Log'!$B$6:$B$304,"&gt;="&amp;B6,'Trip Log'!$B$6:$B$304,"&lt;"&amp;DATE(YEAR(B6),MONTH(B6)+1,1))</f>
        <v>36</v>
      </c>
      <c r="E6" s="12">
        <f>SUMIFS('Trip Log'!$J$6:$J$304,'Trip Log'!$F$6:$F$304,"Personal",'Trip Log'!$B$6:$B$304,"&gt;="&amp;B6,'Trip Log'!$B$6:$B$304,"&lt;"&amp;DATE(YEAR(B6),MONTH(B6)+1,1))</f>
        <v>186</v>
      </c>
      <c r="F6" s="14">
        <f>SUMIFS('Trip Log'!$L$6:$L$304,'Trip Log'!$B$6:$B$304,"&gt;="&amp;B6,'Trip Log'!$B$6:$B$304,"&lt;"&amp;DATE(YEAR(B6),MONTH(B6)+1,1))</f>
        <v>25.200000000000003</v>
      </c>
      <c r="G6" s="14">
        <f>SUMIFS('Trip Log'!$K$6:$K$304,'Trip Log'!$F$6:$F$304,"Business",'Trip Log'!$B$6:$B$304,"&gt;="&amp;B6,'Trip Log'!$B$6:$B$304,"&lt;"&amp;DATE(YEAR(B6),MONTH(B6)+1,1))</f>
        <v>9</v>
      </c>
    </row>
    <row r="7" ht="17" customHeight="1" spans="2:7" x14ac:dyDescent="0.25">
      <c r="B7" s="17">
        <f>DATE(YEAR(B6),MONTH(B6)+1,1)</f>
        <v>46054</v>
      </c>
      <c r="C7" s="12">
        <f>COUNTIFS('Trip Log'!$B$6:$B$304,"&gt;="&amp;B7,'Trip Log'!$B$6:$B$304,"&lt;"&amp;DATE(YEAR(B7),MONTH(B7)+1,1))</f>
        <v>3</v>
      </c>
      <c r="D7" s="12">
        <f>SUMIFS('Trip Log'!$J$6:$J$304,'Trip Log'!$F$6:$F$304,"Business",'Trip Log'!$B$6:$B$304,"&gt;="&amp;B7,'Trip Log'!$B$6:$B$304,"&lt;"&amp;DATE(YEAR(B7),MONTH(B7)+1,1))</f>
        <v>65</v>
      </c>
      <c r="E7" s="12">
        <f>SUMIFS('Trip Log'!$J$6:$J$304,'Trip Log'!$F$6:$F$304,"Personal",'Trip Log'!$B$6:$B$304,"&gt;="&amp;B7,'Trip Log'!$B$6:$B$304,"&lt;"&amp;DATE(YEAR(B7),MONTH(B7)+1,1))</f>
        <v>0</v>
      </c>
      <c r="F7" s="14">
        <f>SUMIFS('Trip Log'!$L$6:$L$304,'Trip Log'!$B$6:$B$304,"&gt;="&amp;B7,'Trip Log'!$B$6:$B$304,"&lt;"&amp;DATE(YEAR(B7),MONTH(B7)+1,1))</f>
        <v>45.50000000000001</v>
      </c>
      <c r="G7" s="14">
        <f>SUMIFS('Trip Log'!$K$6:$K$304,'Trip Log'!$F$6:$F$304,"Business",'Trip Log'!$B$6:$B$304,"&gt;="&amp;B7,'Trip Log'!$B$6:$B$304,"&lt;"&amp;DATE(YEAR(B7),MONTH(B7)+1,1))</f>
        <v>0</v>
      </c>
    </row>
    <row r="8" ht="17" customHeight="1" spans="2:7" x14ac:dyDescent="0.25">
      <c r="B8" s="17">
        <f>DATE(YEAR(B7),MONTH(B7)+1,1)</f>
        <v>46082</v>
      </c>
      <c r="C8" s="12">
        <f>COUNTIFS('Trip Log'!$B$6:$B$304,"&gt;="&amp;B8,'Trip Log'!$B$6:$B$304,"&lt;"&amp;DATE(YEAR(B8),MONTH(B8)+1,1))</f>
        <v>3</v>
      </c>
      <c r="D8" s="12">
        <f>SUMIFS('Trip Log'!$J$6:$J$304,'Trip Log'!$F$6:$F$304,"Business",'Trip Log'!$B$6:$B$304,"&gt;="&amp;B8,'Trip Log'!$B$6:$B$304,"&lt;"&amp;DATE(YEAR(B8),MONTH(B8)+1,1))</f>
        <v>49</v>
      </c>
      <c r="E8" s="12">
        <f>SUMIFS('Trip Log'!$J$6:$J$304,'Trip Log'!$F$6:$F$304,"Personal",'Trip Log'!$B$6:$B$304,"&gt;="&amp;B8,'Trip Log'!$B$6:$B$304,"&lt;"&amp;DATE(YEAR(B8),MONTH(B8)+1,1))</f>
        <v>9</v>
      </c>
      <c r="F8" s="14">
        <f>SUMIFS('Trip Log'!$L$6:$L$304,'Trip Log'!$B$6:$B$304,"&gt;="&amp;B8,'Trip Log'!$B$6:$B$304,"&lt;"&amp;DATE(YEAR(B8),MONTH(B8)+1,1))</f>
        <v>34.3</v>
      </c>
      <c r="G8" s="14">
        <f>SUMIFS('Trip Log'!$K$6:$K$304,'Trip Log'!$F$6:$F$304,"Business",'Trip Log'!$B$6:$B$304,"&gt;="&amp;B8,'Trip Log'!$B$6:$B$304,"&lt;"&amp;DATE(YEAR(B8),MONTH(B8)+1,1))</f>
        <v>5</v>
      </c>
    </row>
    <row r="9" ht="17" customHeight="1" spans="2:7" x14ac:dyDescent="0.25">
      <c r="B9" s="17">
        <f>DATE(YEAR(B8),MONTH(B8)+1,1)</f>
        <v>46113</v>
      </c>
      <c r="C9" s="12">
        <f>COUNTIFS('Trip Log'!$B$6:$B$304,"&gt;="&amp;B9,'Trip Log'!$B$6:$B$304,"&lt;"&amp;DATE(YEAR(B9),MONTH(B9)+1,1))</f>
        <v>2</v>
      </c>
      <c r="D9" s="12">
        <f>SUMIFS('Trip Log'!$J$6:$J$304,'Trip Log'!$F$6:$F$304,"Business",'Trip Log'!$B$6:$B$304,"&gt;="&amp;B9,'Trip Log'!$B$6:$B$304,"&lt;"&amp;DATE(YEAR(B9),MONTH(B9)+1,1))</f>
        <v>43</v>
      </c>
      <c r="E9" s="12">
        <f>SUMIFS('Trip Log'!$J$6:$J$304,'Trip Log'!$F$6:$F$304,"Personal",'Trip Log'!$B$6:$B$304,"&gt;="&amp;B9,'Trip Log'!$B$6:$B$304,"&lt;"&amp;DATE(YEAR(B9),MONTH(B9)+1,1))</f>
        <v>0</v>
      </c>
      <c r="F9" s="14">
        <f>SUMIFS('Trip Log'!$L$6:$L$304,'Trip Log'!$B$6:$B$304,"&gt;="&amp;B9,'Trip Log'!$B$6:$B$304,"&lt;"&amp;DATE(YEAR(B9),MONTH(B9)+1,1))</f>
        <v>30.099999999999998</v>
      </c>
      <c r="G9" s="14">
        <f>SUMIFS('Trip Log'!$K$6:$K$304,'Trip Log'!$F$6:$F$304,"Business",'Trip Log'!$B$6:$B$304,"&gt;="&amp;B9,'Trip Log'!$B$6:$B$304,"&lt;"&amp;DATE(YEAR(B9),MONTH(B9)+1,1))</f>
        <v>0</v>
      </c>
    </row>
    <row r="10" ht="17" customHeight="1" spans="2:7" x14ac:dyDescent="0.25">
      <c r="B10" s="17">
        <f>DATE(YEAR(B9),MONTH(B9)+1,1)</f>
        <v>46143</v>
      </c>
      <c r="C10" s="12">
        <f>COUNTIFS('Trip Log'!$B$6:$B$304,"&gt;="&amp;B10,'Trip Log'!$B$6:$B$304,"&lt;"&amp;DATE(YEAR(B10),MONTH(B10)+1,1))</f>
        <v>3</v>
      </c>
      <c r="D10" s="12">
        <f>SUMIFS('Trip Log'!$J$6:$J$304,'Trip Log'!$F$6:$F$304,"Business",'Trip Log'!$B$6:$B$304,"&gt;="&amp;B10,'Trip Log'!$B$6:$B$304,"&lt;"&amp;DATE(YEAR(B10),MONTH(B10)+1,1))</f>
        <v>75</v>
      </c>
      <c r="E10" s="12">
        <f>SUMIFS('Trip Log'!$J$6:$J$304,'Trip Log'!$F$6:$F$304,"Personal",'Trip Log'!$B$6:$B$304,"&gt;="&amp;B10,'Trip Log'!$B$6:$B$304,"&lt;"&amp;DATE(YEAR(B10),MONTH(B10)+1,1))</f>
        <v>242</v>
      </c>
      <c r="F10" s="14">
        <f>SUMIFS('Trip Log'!$L$6:$L$304,'Trip Log'!$B$6:$B$304,"&gt;="&amp;B10,'Trip Log'!$B$6:$B$304,"&lt;"&amp;DATE(YEAR(B10),MONTH(B10)+1,1))</f>
        <v>52.5</v>
      </c>
      <c r="G10" s="14">
        <f>SUMIFS('Trip Log'!$K$6:$K$304,'Trip Log'!$F$6:$F$304,"Business",'Trip Log'!$B$6:$B$304,"&gt;="&amp;B10,'Trip Log'!$B$6:$B$304,"&lt;"&amp;DATE(YEAR(B10),MONTH(B10)+1,1))</f>
        <v>12</v>
      </c>
    </row>
    <row r="11" ht="17" customHeight="1" spans="2:7" x14ac:dyDescent="0.25">
      <c r="B11" s="17">
        <f>DATE(YEAR(B10),MONTH(B10)+1,1)</f>
        <v>46174</v>
      </c>
      <c r="C11" s="12">
        <f>COUNTIFS('Trip Log'!$B$6:$B$304,"&gt;="&amp;B11,'Trip Log'!$B$6:$B$304,"&lt;"&amp;DATE(YEAR(B11),MONTH(B11)+1,1))</f>
        <v>3</v>
      </c>
      <c r="D11" s="12">
        <f>SUMIFS('Trip Log'!$J$6:$J$304,'Trip Log'!$F$6:$F$304,"Business",'Trip Log'!$B$6:$B$304,"&gt;="&amp;B11,'Trip Log'!$B$6:$B$304,"&lt;"&amp;DATE(YEAR(B11),MONTH(B11)+1,1))</f>
        <v>82</v>
      </c>
      <c r="E11" s="12">
        <f>SUMIFS('Trip Log'!$J$6:$J$304,'Trip Log'!$F$6:$F$304,"Personal",'Trip Log'!$B$6:$B$304,"&gt;="&amp;B11,'Trip Log'!$B$6:$B$304,"&lt;"&amp;DATE(YEAR(B11),MONTH(B11)+1,1))</f>
        <v>13</v>
      </c>
      <c r="F11" s="14">
        <f>SUMIFS('Trip Log'!$L$6:$L$304,'Trip Log'!$B$6:$B$304,"&gt;="&amp;B11,'Trip Log'!$B$6:$B$304,"&lt;"&amp;DATE(YEAR(B11),MONTH(B11)+1,1))</f>
        <v>57.400000000000006</v>
      </c>
      <c r="G11" s="14">
        <f>SUMIFS('Trip Log'!$K$6:$K$304,'Trip Log'!$F$6:$F$304,"Business",'Trip Log'!$B$6:$B$304,"&gt;="&amp;B11,'Trip Log'!$B$6:$B$304,"&lt;"&amp;DATE(YEAR(B11),MONTH(B11)+1,1))</f>
        <v>0</v>
      </c>
    </row>
    <row r="12" ht="17" customHeight="1" spans="2:7" x14ac:dyDescent="0.25">
      <c r="B12" s="17">
        <f>DATE(YEAR(B11),MONTH(B11)+1,1)</f>
        <v>46204</v>
      </c>
      <c r="C12" s="12">
        <f>COUNTIFS('Trip Log'!$B$6:$B$304,"&gt;="&amp;B12,'Trip Log'!$B$6:$B$304,"&lt;"&amp;DATE(YEAR(B12),MONTH(B12)+1,1))</f>
        <v>3</v>
      </c>
      <c r="D12" s="12">
        <f>SUMIFS('Trip Log'!$J$6:$J$304,'Trip Log'!$F$6:$F$304,"Business",'Trip Log'!$B$6:$B$304,"&gt;="&amp;B12,'Trip Log'!$B$6:$B$304,"&lt;"&amp;DATE(YEAR(B12),MONTH(B12)+1,1))</f>
        <v>86</v>
      </c>
      <c r="E12" s="12">
        <f>SUMIFS('Trip Log'!$J$6:$J$304,'Trip Log'!$F$6:$F$304,"Personal",'Trip Log'!$B$6:$B$304,"&gt;="&amp;B12,'Trip Log'!$B$6:$B$304,"&lt;"&amp;DATE(YEAR(B12),MONTH(B12)+1,1))</f>
        <v>0</v>
      </c>
      <c r="F12" s="14">
        <f>SUMIFS('Trip Log'!$L$6:$L$304,'Trip Log'!$B$6:$B$304,"&gt;="&amp;B12,'Trip Log'!$B$6:$B$304,"&lt;"&amp;DATE(YEAR(B12),MONTH(B12)+1,1))</f>
        <v>60.199999999999996</v>
      </c>
      <c r="G12" s="14">
        <f>SUMIFS('Trip Log'!$K$6:$K$304,'Trip Log'!$F$6:$F$304,"Business",'Trip Log'!$B$6:$B$304,"&gt;="&amp;B12,'Trip Log'!$B$6:$B$304,"&lt;"&amp;DATE(YEAR(B12),MONTH(B12)+1,1))</f>
        <v>15</v>
      </c>
    </row>
    <row r="13" ht="17" customHeight="1" spans="2:7" x14ac:dyDescent="0.25">
      <c r="B13" s="17">
        <f>DATE(YEAR(B12),MONTH(B12)+1,1)</f>
        <v>46235</v>
      </c>
      <c r="C13" s="12">
        <f>COUNTIFS('Trip Log'!$B$6:$B$304,"&gt;="&amp;B13,'Trip Log'!$B$6:$B$304,"&lt;"&amp;DATE(YEAR(B13),MONTH(B13)+1,1))</f>
        <v>3</v>
      </c>
      <c r="D13" s="12">
        <f>SUMIFS('Trip Log'!$J$6:$J$304,'Trip Log'!$F$6:$F$304,"Business",'Trip Log'!$B$6:$B$304,"&gt;="&amp;B13,'Trip Log'!$B$6:$B$304,"&lt;"&amp;DATE(YEAR(B13),MONTH(B13)+1,1))</f>
        <v>43</v>
      </c>
      <c r="E13" s="12">
        <f>SUMIFS('Trip Log'!$J$6:$J$304,'Trip Log'!$F$6:$F$304,"Personal",'Trip Log'!$B$6:$B$304,"&gt;="&amp;B13,'Trip Log'!$B$6:$B$304,"&lt;"&amp;DATE(YEAR(B13),MONTH(B13)+1,1))</f>
        <v>214</v>
      </c>
      <c r="F13" s="14">
        <f>SUMIFS('Trip Log'!$L$6:$L$304,'Trip Log'!$B$6:$B$304,"&gt;="&amp;B13,'Trip Log'!$B$6:$B$304,"&lt;"&amp;DATE(YEAR(B13),MONTH(B13)+1,1))</f>
        <v>30.099999999999998</v>
      </c>
      <c r="G13" s="14">
        <f>SUMIFS('Trip Log'!$K$6:$K$304,'Trip Log'!$F$6:$F$304,"Business",'Trip Log'!$B$6:$B$304,"&gt;="&amp;B13,'Trip Log'!$B$6:$B$304,"&lt;"&amp;DATE(YEAR(B13),MONTH(B13)+1,1))</f>
        <v>0</v>
      </c>
    </row>
    <row r="14" ht="17" customHeight="1" spans="2:7" x14ac:dyDescent="0.25">
      <c r="B14" s="17">
        <f>DATE(YEAR(B13),MONTH(B13)+1,1)</f>
        <v>46266</v>
      </c>
      <c r="C14" s="12">
        <f>COUNTIFS('Trip Log'!$B$6:$B$304,"&gt;="&amp;B14,'Trip Log'!$B$6:$B$304,"&lt;"&amp;DATE(YEAR(B14),MONTH(B14)+1,1))</f>
        <v>5</v>
      </c>
      <c r="D14" s="12">
        <f>SUMIFS('Trip Log'!$J$6:$J$304,'Trip Log'!$F$6:$F$304,"Business",'Trip Log'!$B$6:$B$304,"&gt;="&amp;B14,'Trip Log'!$B$6:$B$304,"&lt;"&amp;DATE(YEAR(B14),MONTH(B14)+1,1))</f>
        <v>132</v>
      </c>
      <c r="E14" s="12">
        <f>SUMIFS('Trip Log'!$J$6:$J$304,'Trip Log'!$F$6:$F$304,"Personal",'Trip Log'!$B$6:$B$304,"&gt;="&amp;B14,'Trip Log'!$B$6:$B$304,"&lt;"&amp;DATE(YEAR(B14),MONTH(B14)+1,1))</f>
        <v>26</v>
      </c>
      <c r="F14" s="14">
        <f>SUMIFS('Trip Log'!$L$6:$L$304,'Trip Log'!$B$6:$B$304,"&gt;="&amp;B14,'Trip Log'!$B$6:$B$304,"&lt;"&amp;DATE(YEAR(B14),MONTH(B14)+1,1))</f>
        <v>92.39999999999999</v>
      </c>
      <c r="G14" s="14">
        <f>SUMIFS('Trip Log'!$K$6:$K$304,'Trip Log'!$F$6:$F$304,"Business",'Trip Log'!$B$6:$B$304,"&gt;="&amp;B14,'Trip Log'!$B$6:$B$304,"&lt;"&amp;DATE(YEAR(B14),MONTH(B14)+1,1))</f>
        <v>12</v>
      </c>
    </row>
    <row r="15" ht="17" customHeight="1" spans="2:7" x14ac:dyDescent="0.25">
      <c r="B15" s="17">
        <f>DATE(YEAR(B14),MONTH(B14)+1,1)</f>
        <v>46296</v>
      </c>
      <c r="C15" s="12">
        <f>COUNTIFS('Trip Log'!$B$6:$B$304,"&gt;="&amp;B15,'Trip Log'!$B$6:$B$304,"&lt;"&amp;DATE(YEAR(B15),MONTH(B15)+1,1))</f>
        <v>5</v>
      </c>
      <c r="D15" s="12">
        <f>SUMIFS('Trip Log'!$J$6:$J$304,'Trip Log'!$F$6:$F$304,"Business",'Trip Log'!$B$6:$B$304,"&gt;="&amp;B15,'Trip Log'!$B$6:$B$304,"&lt;"&amp;DATE(YEAR(B15),MONTH(B15)+1,1))</f>
        <v>103</v>
      </c>
      <c r="E15" s="12">
        <f>SUMIFS('Trip Log'!$J$6:$J$304,'Trip Log'!$F$6:$F$304,"Personal",'Trip Log'!$B$6:$B$304,"&gt;="&amp;B15,'Trip Log'!$B$6:$B$304,"&lt;"&amp;DATE(YEAR(B15),MONTH(B15)+1,1))</f>
        <v>12</v>
      </c>
      <c r="F15" s="14">
        <f>SUMIFS('Trip Log'!$L$6:$L$304,'Trip Log'!$B$6:$B$304,"&gt;="&amp;B15,'Trip Log'!$B$6:$B$304,"&lt;"&amp;DATE(YEAR(B15),MONTH(B15)+1,1))</f>
        <v>72.10000000000001</v>
      </c>
      <c r="G15" s="14">
        <f>SUMIFS('Trip Log'!$K$6:$K$304,'Trip Log'!$F$6:$F$304,"Business",'Trip Log'!$B$6:$B$304,"&gt;="&amp;B15,'Trip Log'!$B$6:$B$304,"&lt;"&amp;DATE(YEAR(B15),MONTH(B15)+1,1))</f>
        <v>29</v>
      </c>
    </row>
    <row r="16" ht="17" customHeight="1" spans="2:7" x14ac:dyDescent="0.25">
      <c r="B16" s="17">
        <f>DATE(YEAR(B15),MONTH(B15)+1,1)</f>
        <v>46327</v>
      </c>
      <c r="C16" s="12">
        <f>COUNTIFS('Trip Log'!$B$6:$B$304,"&gt;="&amp;B16,'Trip Log'!$B$6:$B$304,"&lt;"&amp;DATE(YEAR(B16),MONTH(B16)+1,1))</f>
        <v>0</v>
      </c>
      <c r="D16" s="12">
        <f>SUMIFS('Trip Log'!$J$6:$J$304,'Trip Log'!$F$6:$F$304,"Business",'Trip Log'!$B$6:$B$304,"&gt;="&amp;B16,'Trip Log'!$B$6:$B$304,"&lt;"&amp;DATE(YEAR(B16),MONTH(B16)+1,1))</f>
        <v>0</v>
      </c>
      <c r="E16" s="12">
        <f>SUMIFS('Trip Log'!$J$6:$J$304,'Trip Log'!$F$6:$F$304,"Personal",'Trip Log'!$B$6:$B$304,"&gt;="&amp;B16,'Trip Log'!$B$6:$B$304,"&lt;"&amp;DATE(YEAR(B16),MONTH(B16)+1,1))</f>
        <v>0</v>
      </c>
      <c r="F16" s="14">
        <f>SUMIFS('Trip Log'!$L$6:$L$304,'Trip Log'!$B$6:$B$304,"&gt;="&amp;B16,'Trip Log'!$B$6:$B$304,"&lt;"&amp;DATE(YEAR(B16),MONTH(B16)+1,1))</f>
        <v>0</v>
      </c>
      <c r="G16" s="14">
        <f>SUMIFS('Trip Log'!$K$6:$K$304,'Trip Log'!$F$6:$F$304,"Business",'Trip Log'!$B$6:$B$304,"&gt;="&amp;B16,'Trip Log'!$B$6:$B$304,"&lt;"&amp;DATE(YEAR(B16),MONTH(B16)+1,1))</f>
        <v>0</v>
      </c>
    </row>
    <row r="17" ht="17" customHeight="1" spans="2:7" x14ac:dyDescent="0.25">
      <c r="B17" s="17">
        <f>DATE(YEAR(B16),MONTH(B16)+1,1)</f>
        <v>46357</v>
      </c>
      <c r="C17" s="12">
        <f>COUNTIFS('Trip Log'!$B$6:$B$304,"&gt;="&amp;B17,'Trip Log'!$B$6:$B$304,"&lt;"&amp;DATE(YEAR(B17),MONTH(B17)+1,1))</f>
        <v>0</v>
      </c>
      <c r="D17" s="12">
        <f>SUMIFS('Trip Log'!$J$6:$J$304,'Trip Log'!$F$6:$F$304,"Business",'Trip Log'!$B$6:$B$304,"&gt;="&amp;B17,'Trip Log'!$B$6:$B$304,"&lt;"&amp;DATE(YEAR(B17),MONTH(B17)+1,1))</f>
        <v>0</v>
      </c>
      <c r="E17" s="12">
        <f>SUMIFS('Trip Log'!$J$6:$J$304,'Trip Log'!$F$6:$F$304,"Personal",'Trip Log'!$B$6:$B$304,"&gt;="&amp;B17,'Trip Log'!$B$6:$B$304,"&lt;"&amp;DATE(YEAR(B17),MONTH(B17)+1,1))</f>
        <v>0</v>
      </c>
      <c r="F17" s="14">
        <f>SUMIFS('Trip Log'!$L$6:$L$304,'Trip Log'!$B$6:$B$304,"&gt;="&amp;B17,'Trip Log'!$B$6:$B$304,"&lt;"&amp;DATE(YEAR(B17),MONTH(B17)+1,1))</f>
        <v>0</v>
      </c>
      <c r="G17" s="14">
        <f>SUMIFS('Trip Log'!$K$6:$K$304,'Trip Log'!$F$6:$F$304,"Business",'Trip Log'!$B$6:$B$304,"&gt;="&amp;B17,'Trip Log'!$B$6:$B$304,"&lt;"&amp;DATE(YEAR(B17),MONTH(B17)+1,1))</f>
        <v>0</v>
      </c>
    </row>
    <row r="18" ht="17" customHeight="1" spans="2:7" x14ac:dyDescent="0.25">
      <c r="B18" s="18" t="str">
        <f>"Total"</f>
        <v>Total</v>
      </c>
      <c r="C18" s="12">
        <f>SUM(C6:C17)</f>
        <v>33</v>
      </c>
      <c r="D18" s="12">
        <f>SUM(D6:D17)</f>
        <v>714</v>
      </c>
      <c r="E18" s="12">
        <f>SUM(E6:E17)</f>
        <v>702</v>
      </c>
      <c r="F18" s="14">
        <f>SUM(F6:F17)</f>
        <v>499.80000000000007</v>
      </c>
      <c r="G18" s="14">
        <f>SUM(G6:G17)</f>
        <v>82</v>
      </c>
    </row>
  </sheetData>
  <mergeCells count="3">
    <mergeCell ref="E1:G1"/>
    <mergeCell ref="B2:D2"/>
    <mergeCell ref="E2:G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Trip Log</vt:lpstr>
      <vt:lpstr>Summary</vt:lpstr>
      <vt:lpstr>Monthly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rowsandcells.com</dc:creator>
  <dc:title>Mileage Log</dc:title>
  <dc:subject/>
  <dc:description/>
  <cp:keywords/>
  <cp:category/>
  <cp:lastModifiedBy>Unknown</cp:lastModifiedBy>
  <dcterms:created xsi:type="dcterms:W3CDTF">2026-10-19T11:58:40Z</dcterms:created>
  <dcterms:modified xsi:type="dcterms:W3CDTF">2026-10-19T11:58:40Z</dcterms:modified>
</cp:coreProperties>
</file>