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checks" state="visible" r:id="rId4"/>
    <sheet sheetId="2" name="Year to Date" state="visible" r:id="rId5"/>
    <sheet sheetId="3" name="By Month" state="visible" r:id="rId6"/>
  </sheets>
  <calcPr calcId="171027"/>
</workbook>
</file>

<file path=xl/sharedStrings.xml><?xml version="1.0" encoding="utf-8"?>
<sst xmlns="http://schemas.openxmlformats.org/spreadsheetml/2006/main" count="47" uniqueCount="32">
  <si>
    <t>Pay date</t>
  </si>
  <si>
    <t>Regular hours</t>
  </si>
  <si>
    <t>Overtime hours</t>
  </si>
  <si>
    <t>Hourly rate</t>
  </si>
  <si>
    <t>Other pay</t>
  </si>
  <si>
    <t>Gross pay</t>
  </si>
  <si>
    <t>Federal tax</t>
  </si>
  <si>
    <t>State tax</t>
  </si>
  <si>
    <t>Social Security</t>
  </si>
  <si>
    <t>Medicare</t>
  </si>
  <si>
    <t>Health insurance</t>
  </si>
  <si>
    <t>401(k)</t>
  </si>
  <si>
    <t>Other deductions</t>
  </si>
  <si>
    <t>Total deductions</t>
  </si>
  <si>
    <t>Net pay</t>
  </si>
  <si>
    <t>Net on pay stub</t>
  </si>
  <si>
    <t>Check</t>
  </si>
  <si>
    <t>Gross so far</t>
  </si>
  <si>
    <t>Net so far</t>
  </si>
  <si>
    <t>Take-home share</t>
  </si>
  <si>
    <t>Item</t>
  </si>
  <si>
    <t>Year to date</t>
  </si>
  <si>
    <t>Per paycheck</t>
  </si>
  <si>
    <t>Share of gross</t>
  </si>
  <si>
    <t>Paychecks this year</t>
  </si>
  <si>
    <t>Taxes withheld (federal, state, FICA)</t>
  </si>
  <si>
    <t>Paychecks that don't match the stub</t>
  </si>
  <si>
    <t>Month</t>
  </si>
  <si>
    <t>Paychecks</t>
  </si>
  <si>
    <t>Taxes</t>
  </si>
  <si>
    <t>Benefits and other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</si>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</sst>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d, yyyy"/>
    <numFmt numFmtId="165" formatCode="#,##0.##"/>
    <numFmt numFmtId="166" formatCode="&quot;$&quot;#,##0.00"/>
    <numFmt numFmtId="167" formatCode="0.0%"/>
    <numFmt numFmtId="168" formatCode="mmmm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T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14" customWidth="1"/>
    <col min="4" max="5" width="11" customWidth="1"/>
    <col min="6" max="7" width="12" customWidth="1"/>
    <col min="8" max="8" width="11" customWidth="1"/>
    <col min="9" max="9" width="14" customWidth="1"/>
    <col min="10" max="10" width="11" customWidth="1"/>
    <col min="11" max="11" width="15" customWidth="1"/>
    <col min="12" max="12" width="10" customWidth="1"/>
    <col min="13" max="13" width="16" customWidth="1"/>
    <col min="14" max="14" width="15" customWidth="1"/>
    <col min="15" max="15" width="12" customWidth="1"/>
    <col min="16" max="16" width="15" customWidth="1"/>
    <col min="17" max="17" width="14" customWidth="1"/>
    <col min="18" max="19" width="13" customWidth="1"/>
    <col min="20" max="20" width="15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>
        <v>46024</v>
      </c>
      <c r="B2" s="3">
        <v>80</v>
      </c>
      <c r="C2" s="3">
        <v>0</v>
      </c>
      <c r="D2" s="4">
        <v>27.5</v>
      </c>
      <c r="E2" s="4">
        <v>0</v>
      </c>
      <c r="F2" s="4">
        <f>ROUND(B2*D2+C2*D2*1.5+E2,2)</f>
        <v>2200</v>
      </c>
      <c r="G2" s="4">
        <v>183.77</v>
      </c>
      <c r="H2" s="4">
        <v>84.9</v>
      </c>
      <c r="I2" s="4">
        <v>130.68</v>
      </c>
      <c r="J2" s="4">
        <v>30.56</v>
      </c>
      <c r="K2" s="4">
        <v>92.3</v>
      </c>
      <c r="L2" s="4">
        <v>110</v>
      </c>
      <c r="M2" s="4">
        <v>0</v>
      </c>
      <c r="N2" s="4">
        <f>SUM(G2:M2)</f>
        <v>632.21</v>
      </c>
      <c r="O2" s="4">
        <f>F2-N2</f>
        <v>1567.79</v>
      </c>
      <c r="P2" s="4">
        <v>1567.79</v>
      </c>
      <c r="Q2" t="str">
        <f>IF(ISBLANK(P2),"",IF(ROUND(O2-P2,2)=0,"Matches","Off by "&amp;TEXT(ABS(O2-P2),"$#,##0.00")))</f>
        <v>Matches</v>
      </c>
      <c r="R2" s="4">
        <f>SUM($F$2:F2)</f>
        <v>2200</v>
      </c>
      <c r="S2" s="4">
        <f>SUM($O$2:O2)</f>
        <v>1567.79</v>
      </c>
      <c r="T2" s="5">
        <f>IF(F2=0,0,O2/F2)</f>
        <v>0.7126318181818182</v>
      </c>
    </row>
    <row r="3" spans="1:20" x14ac:dyDescent="0.25">
      <c r="A3" s="2">
        <v>46038</v>
      </c>
      <c r="B3" s="3">
        <v>80</v>
      </c>
      <c r="C3" s="3">
        <v>4</v>
      </c>
      <c r="D3" s="4">
        <v>27.5</v>
      </c>
      <c r="E3" s="4">
        <v>0</v>
      </c>
      <c r="F3" s="4">
        <f>ROUND(B3*D3+C3*D3*1.5+E3,2)</f>
        <v>2365</v>
      </c>
      <c r="G3" s="4">
        <v>199.14</v>
      </c>
      <c r="H3" s="4">
        <v>91.56</v>
      </c>
      <c r="I3" s="4">
        <v>140.91</v>
      </c>
      <c r="J3" s="4">
        <v>32.95</v>
      </c>
      <c r="K3" s="4">
        <v>92.3</v>
      </c>
      <c r="L3" s="4">
        <v>118.25</v>
      </c>
      <c r="M3" s="4">
        <v>0</v>
      </c>
      <c r="N3" s="4">
        <f>SUM(G3:M3)</f>
        <v>675.11</v>
      </c>
      <c r="O3" s="4">
        <f>F3-N3</f>
        <v>1689.8899999999999</v>
      </c>
      <c r="P3" s="4">
        <v>1689.89</v>
      </c>
      <c r="Q3" t="str">
        <f>IF(ISBLANK(P3),"",IF(ROUND(O3-P3,2)=0,"Matches","Off by "&amp;TEXT(ABS(O3-P3),"$#,##0.00")))</f>
        <v>Matches</v>
      </c>
      <c r="R3" s="4">
        <f>SUM($F$2:F3)</f>
        <v>4565</v>
      </c>
      <c r="S3" s="4">
        <f>SUM($O$2:O3)</f>
        <v>3257.68</v>
      </c>
      <c r="T3" s="5">
        <f>IF(F3=0,0,O3/F3)</f>
        <v>0.7145412262156448</v>
      </c>
    </row>
    <row r="4" spans="1:20" x14ac:dyDescent="0.25">
      <c r="A4" s="2">
        <v>46052</v>
      </c>
      <c r="B4" s="3">
        <v>80</v>
      </c>
      <c r="C4" s="3">
        <v>0</v>
      </c>
      <c r="D4" s="4">
        <v>27.5</v>
      </c>
      <c r="E4" s="4">
        <v>0</v>
      </c>
      <c r="F4" s="4">
        <f>ROUND(B4*D4+C4*D4*1.5+E4,2)</f>
        <v>2200</v>
      </c>
      <c r="G4" s="4">
        <v>183.77</v>
      </c>
      <c r="H4" s="4">
        <v>84.9</v>
      </c>
      <c r="I4" s="4">
        <v>130.68</v>
      </c>
      <c r="J4" s="4">
        <v>30.56</v>
      </c>
      <c r="K4" s="4">
        <v>92.3</v>
      </c>
      <c r="L4" s="4">
        <v>110</v>
      </c>
      <c r="M4" s="4">
        <v>0</v>
      </c>
      <c r="N4" s="4">
        <f>SUM(G4:M4)</f>
        <v>632.21</v>
      </c>
      <c r="O4" s="4">
        <f>F4-N4</f>
        <v>1567.79</v>
      </c>
      <c r="P4" s="4">
        <v>1567.79</v>
      </c>
      <c r="Q4" t="str">
        <f>IF(ISBLANK(P4),"",IF(ROUND(O4-P4,2)=0,"Matches","Off by "&amp;TEXT(ABS(O4-P4),"$#,##0.00")))</f>
        <v>Matches</v>
      </c>
      <c r="R4" s="4">
        <f>SUM($F$2:F4)</f>
        <v>6765</v>
      </c>
      <c r="S4" s="4">
        <f>SUM($O$2:O4)</f>
        <v>4825.469999999999</v>
      </c>
      <c r="T4" s="5">
        <f>IF(F4=0,0,O4/F4)</f>
        <v>0.7126318181818182</v>
      </c>
    </row>
    <row r="5" spans="1:20" x14ac:dyDescent="0.25">
      <c r="A5" s="2">
        <v>46066</v>
      </c>
      <c r="B5" s="3">
        <v>80</v>
      </c>
      <c r="C5" s="3">
        <v>0</v>
      </c>
      <c r="D5" s="4">
        <v>27.5</v>
      </c>
      <c r="E5" s="4">
        <v>0</v>
      </c>
      <c r="F5" s="4">
        <f>ROUND(B5*D5+C5*D5*1.5+E5,2)</f>
        <v>2200</v>
      </c>
      <c r="G5" s="4">
        <v>183.77</v>
      </c>
      <c r="H5" s="4">
        <v>84.9</v>
      </c>
      <c r="I5" s="4">
        <v>130.68</v>
      </c>
      <c r="J5" s="4">
        <v>30.56</v>
      </c>
      <c r="K5" s="4">
        <v>92.3</v>
      </c>
      <c r="L5" s="4">
        <v>110</v>
      </c>
      <c r="M5" s="4">
        <v>0</v>
      </c>
      <c r="N5" s="4">
        <f>SUM(G5:M5)</f>
        <v>632.21</v>
      </c>
      <c r="O5" s="4">
        <f>F5-N5</f>
        <v>1567.79</v>
      </c>
      <c r="P5" s="4">
        <v>1567.79</v>
      </c>
      <c r="Q5" t="str">
        <f>IF(ISBLANK(P5),"",IF(ROUND(O5-P5,2)=0,"Matches","Off by "&amp;TEXT(ABS(O5-P5),"$#,##0.00")))</f>
        <v>Matches</v>
      </c>
      <c r="R5" s="4">
        <f>SUM($F$2:F5)</f>
        <v>8965</v>
      </c>
      <c r="S5" s="4">
        <f>SUM($O$2:O5)</f>
        <v>6393.259999999999</v>
      </c>
      <c r="T5" s="5">
        <f>IF(F5=0,0,O5/F5)</f>
        <v>0.7126318181818182</v>
      </c>
    </row>
    <row r="6" spans="1:20" x14ac:dyDescent="0.25">
      <c r="A6" s="2">
        <v>46080</v>
      </c>
      <c r="B6" s="3">
        <v>80</v>
      </c>
      <c r="C6" s="3">
        <v>6</v>
      </c>
      <c r="D6" s="4">
        <v>27.5</v>
      </c>
      <c r="E6" s="4">
        <v>0</v>
      </c>
      <c r="F6" s="4">
        <f>ROUND(B6*D6+C6*D6*1.5+E6,2)</f>
        <v>2447.5</v>
      </c>
      <c r="G6" s="4">
        <v>206.82</v>
      </c>
      <c r="H6" s="4">
        <v>94.89</v>
      </c>
      <c r="I6" s="4">
        <v>146.02</v>
      </c>
      <c r="J6" s="4">
        <v>34.15</v>
      </c>
      <c r="K6" s="4">
        <v>92.3</v>
      </c>
      <c r="L6" s="4">
        <v>122.38</v>
      </c>
      <c r="M6" s="4">
        <v>0</v>
      </c>
      <c r="N6" s="4">
        <f>SUM(G6:M6)</f>
        <v>696.56</v>
      </c>
      <c r="O6" s="4">
        <f>F6-N6</f>
        <v>1750.94</v>
      </c>
      <c r="P6" s="4">
        <v>1750.94</v>
      </c>
      <c r="Q6" t="str">
        <f>IF(ISBLANK(P6),"",IF(ROUND(O6-P6,2)=0,"Matches","Off by "&amp;TEXT(ABS(O6-P6),"$#,##0.00")))</f>
        <v>Matches</v>
      </c>
      <c r="R6" s="4">
        <f>SUM($F$2:F6)</f>
        <v>11412.5</v>
      </c>
      <c r="S6" s="4">
        <f>SUM($O$2:O6)</f>
        <v>8144.199999999999</v>
      </c>
      <c r="T6" s="5">
        <f>IF(F6=0,0,O6/F6)</f>
        <v>0.7153993871297243</v>
      </c>
    </row>
    <row r="7" spans="1:20" x14ac:dyDescent="0.25">
      <c r="A7" s="2">
        <v>46094</v>
      </c>
      <c r="B7" s="3">
        <v>80</v>
      </c>
      <c r="C7" s="3">
        <v>0</v>
      </c>
      <c r="D7" s="4">
        <v>27.5</v>
      </c>
      <c r="E7" s="4">
        <v>500</v>
      </c>
      <c r="F7" s="4">
        <f>ROUND(B7*D7+C7*D7*1.5+E7,2)</f>
        <v>2700</v>
      </c>
      <c r="G7" s="4">
        <v>230.32</v>
      </c>
      <c r="H7" s="4">
        <v>105.09</v>
      </c>
      <c r="I7" s="4">
        <v>161.68</v>
      </c>
      <c r="J7" s="4">
        <v>37.81</v>
      </c>
      <c r="K7" s="4">
        <v>92.3</v>
      </c>
      <c r="L7" s="4">
        <v>135</v>
      </c>
      <c r="M7" s="4">
        <v>0</v>
      </c>
      <c r="N7" s="4">
        <f>SUM(G7:M7)</f>
        <v>762.1999999999999</v>
      </c>
      <c r="O7" s="4">
        <f>F7-N7</f>
        <v>1937.8000000000002</v>
      </c>
      <c r="P7" s="4">
        <v>1937.8</v>
      </c>
      <c r="Q7" t="str">
        <f>IF(ISBLANK(P7),"",IF(ROUND(O7-P7,2)=0,"Matches","Off by "&amp;TEXT(ABS(O7-P7),"$#,##0.00")))</f>
        <v>Matches</v>
      </c>
      <c r="R7" s="4">
        <f>SUM($F$2:F7)</f>
        <v>14112.5</v>
      </c>
      <c r="S7" s="4">
        <f>SUM($O$2:O7)</f>
        <v>10082</v>
      </c>
      <c r="T7" s="5">
        <f>IF(F7=0,0,O7/F7)</f>
        <v>0.7177037037037037</v>
      </c>
    </row>
    <row r="8" spans="1:20" x14ac:dyDescent="0.25">
      <c r="A8" s="2">
        <v>46108</v>
      </c>
      <c r="B8" s="3">
        <v>80</v>
      </c>
      <c r="C8" s="3">
        <v>0</v>
      </c>
      <c r="D8" s="4">
        <v>27.5</v>
      </c>
      <c r="E8" s="4">
        <v>0</v>
      </c>
      <c r="F8" s="4">
        <f>ROUND(B8*D8+C8*D8*1.5+E8,2)</f>
        <v>2200</v>
      </c>
      <c r="G8" s="4">
        <v>183.77</v>
      </c>
      <c r="H8" s="4">
        <v>84.9</v>
      </c>
      <c r="I8" s="4">
        <v>130.68</v>
      </c>
      <c r="J8" s="4">
        <v>30.56</v>
      </c>
      <c r="K8" s="4">
        <v>92.3</v>
      </c>
      <c r="L8" s="4">
        <v>110</v>
      </c>
      <c r="M8" s="4">
        <v>0</v>
      </c>
      <c r="N8" s="4">
        <f>SUM(G8:M8)</f>
        <v>632.21</v>
      </c>
      <c r="O8" s="4">
        <f>F8-N8</f>
        <v>1567.79</v>
      </c>
      <c r="P8" s="4">
        <v>1567.79</v>
      </c>
      <c r="Q8" t="str">
        <f>IF(ISBLANK(P8),"",IF(ROUND(O8-P8,2)=0,"Matches","Off by "&amp;TEXT(ABS(O8-P8),"$#,##0.00")))</f>
        <v>Matches</v>
      </c>
      <c r="R8" s="4">
        <f>SUM($F$2:F8)</f>
        <v>16312.5</v>
      </c>
      <c r="S8" s="4">
        <f>SUM($O$2:O8)</f>
        <v>11649.79</v>
      </c>
      <c r="T8" s="5">
        <f>IF(F8=0,0,O8/F8)</f>
        <v>0.7126318181818182</v>
      </c>
    </row>
    <row r="9" spans="1:20" x14ac:dyDescent="0.25">
      <c r="A9" s="2">
        <v>46122</v>
      </c>
      <c r="B9" s="3">
        <v>80</v>
      </c>
      <c r="C9" s="3">
        <v>0</v>
      </c>
      <c r="D9" s="4">
        <v>27.5</v>
      </c>
      <c r="E9" s="4">
        <v>0</v>
      </c>
      <c r="F9" s="4">
        <f>ROUND(B9*D9+C9*D9*1.5+E9,2)</f>
        <v>2200</v>
      </c>
      <c r="G9" s="4">
        <v>183.77</v>
      </c>
      <c r="H9" s="4">
        <v>84.9</v>
      </c>
      <c r="I9" s="4">
        <v>130.68</v>
      </c>
      <c r="J9" s="4">
        <v>30.56</v>
      </c>
      <c r="K9" s="4">
        <v>92.3</v>
      </c>
      <c r="L9" s="4">
        <v>110</v>
      </c>
      <c r="M9" s="4">
        <v>0</v>
      </c>
      <c r="N9" s="4">
        <f>SUM(G9:M9)</f>
        <v>632.21</v>
      </c>
      <c r="O9" s="4">
        <f>F9-N9</f>
        <v>1567.79</v>
      </c>
      <c r="P9" s="4">
        <v>1567.79</v>
      </c>
      <c r="Q9" t="str">
        <f>IF(ISBLANK(P9),"",IF(ROUND(O9-P9,2)=0,"Matches","Off by "&amp;TEXT(ABS(O9-P9),"$#,##0.00")))</f>
        <v>Matches</v>
      </c>
      <c r="R9" s="4">
        <f>SUM($F$2:F9)</f>
        <v>18512.5</v>
      </c>
      <c r="S9" s="4">
        <f>SUM($O$2:O9)</f>
        <v>13217.580000000002</v>
      </c>
      <c r="T9" s="5">
        <f>IF(F9=0,0,O9/F9)</f>
        <v>0.7126318181818182</v>
      </c>
    </row>
    <row r="10" spans="1:20" x14ac:dyDescent="0.25">
      <c r="A10" s="2">
        <v>46136</v>
      </c>
      <c r="B10" s="3">
        <v>80</v>
      </c>
      <c r="C10" s="3">
        <v>0</v>
      </c>
      <c r="D10" s="4">
        <v>27.5</v>
      </c>
      <c r="E10" s="4">
        <v>0</v>
      </c>
      <c r="F10" s="4">
        <f>ROUND(B10*D10+C10*D10*1.5+E10,2)</f>
        <v>2200</v>
      </c>
      <c r="G10" s="4">
        <v>183.77</v>
      </c>
      <c r="H10" s="4">
        <v>84.9</v>
      </c>
      <c r="I10" s="4">
        <v>130.68</v>
      </c>
      <c r="J10" s="4">
        <v>30.56</v>
      </c>
      <c r="K10" s="4">
        <v>92.3</v>
      </c>
      <c r="L10" s="4">
        <v>110</v>
      </c>
      <c r="M10" s="4">
        <v>0</v>
      </c>
      <c r="N10" s="4">
        <f>SUM(G10:M10)</f>
        <v>632.21</v>
      </c>
      <c r="O10" s="4">
        <f>F10-N10</f>
        <v>1567.79</v>
      </c>
      <c r="P10" s="4">
        <v>1567.79</v>
      </c>
      <c r="Q10" t="str">
        <f>IF(ISBLANK(P10),"",IF(ROUND(O10-P10,2)=0,"Matches","Off by "&amp;TEXT(ABS(O10-P10),"$#,##0.00")))</f>
        <v>Matches</v>
      </c>
      <c r="R10" s="4">
        <f>SUM($F$2:F10)</f>
        <v>20712.5</v>
      </c>
      <c r="S10" s="4">
        <f>SUM($O$2:O10)</f>
        <v>14785.370000000003</v>
      </c>
      <c r="T10" s="5">
        <f>IF(F10=0,0,O10/F10)</f>
        <v>0.7126318181818182</v>
      </c>
    </row>
    <row r="11" spans="1:20" x14ac:dyDescent="0.25">
      <c r="A11" s="2">
        <v>46150</v>
      </c>
      <c r="B11" s="3">
        <v>80</v>
      </c>
      <c r="C11" s="3">
        <v>8</v>
      </c>
      <c r="D11" s="4">
        <v>27.5</v>
      </c>
      <c r="E11" s="4">
        <v>0</v>
      </c>
      <c r="F11" s="4">
        <f>ROUND(B11*D11+C11*D11*1.5+E11,2)</f>
        <v>2530</v>
      </c>
      <c r="G11" s="4">
        <v>214.5</v>
      </c>
      <c r="H11" s="4">
        <v>98.23</v>
      </c>
      <c r="I11" s="4">
        <v>151.14</v>
      </c>
      <c r="J11" s="4">
        <v>35.35</v>
      </c>
      <c r="K11" s="4">
        <v>92.3</v>
      </c>
      <c r="L11" s="4">
        <v>126.5</v>
      </c>
      <c r="M11" s="4">
        <v>0</v>
      </c>
      <c r="N11" s="4">
        <f>SUM(G11:M11)</f>
        <v>718.02</v>
      </c>
      <c r="O11" s="4">
        <f>F11-N11</f>
        <v>1811.98</v>
      </c>
      <c r="P11" s="4">
        <v>1811.98</v>
      </c>
      <c r="Q11" t="str">
        <f>IF(ISBLANK(P11),"",IF(ROUND(O11-P11,2)=0,"Matches","Off by "&amp;TEXT(ABS(O11-P11),"$#,##0.00")))</f>
        <v>Matches</v>
      </c>
      <c r="R11" s="4">
        <f>SUM($F$2:F11)</f>
        <v>23242.5</v>
      </c>
      <c r="S11" s="4">
        <f>SUM($O$2:O11)</f>
        <v>16597.350000000002</v>
      </c>
      <c r="T11" s="5">
        <f>IF(F11=0,0,O11/F11)</f>
        <v>0.716197628458498</v>
      </c>
    </row>
    <row r="12" spans="1:20" x14ac:dyDescent="0.25">
      <c r="A12" s="2">
        <v>46164</v>
      </c>
      <c r="B12" s="3">
        <v>80</v>
      </c>
      <c r="C12" s="3">
        <v>5</v>
      </c>
      <c r="D12" s="4">
        <v>27.5</v>
      </c>
      <c r="E12" s="4">
        <v>0</v>
      </c>
      <c r="F12" s="4">
        <f>ROUND(B12*D12+C12*D12*1.5+E12,2)</f>
        <v>2406.25</v>
      </c>
      <c r="G12" s="4">
        <v>202.98</v>
      </c>
      <c r="H12" s="4">
        <v>93.23</v>
      </c>
      <c r="I12" s="4">
        <v>143.46</v>
      </c>
      <c r="J12" s="4">
        <v>33.55</v>
      </c>
      <c r="K12" s="4">
        <v>92.3</v>
      </c>
      <c r="L12" s="4">
        <v>120.31</v>
      </c>
      <c r="M12" s="4">
        <v>0</v>
      </c>
      <c r="N12" s="4">
        <f>SUM(G12:M12)</f>
        <v>685.8299999999999</v>
      </c>
      <c r="O12" s="4">
        <f>F12-N12</f>
        <v>1720.42</v>
      </c>
      <c r="P12" s="4">
        <v>1720.42</v>
      </c>
      <c r="Q12" t="str">
        <f>IF(ISBLANK(P12),"",IF(ROUND(O12-P12,2)=0,"Matches","Off by "&amp;TEXT(ABS(O12-P12),"$#,##0.00")))</f>
        <v>Matches</v>
      </c>
      <c r="R12" s="4">
        <f>SUM($F$2:F12)</f>
        <v>25648.75</v>
      </c>
      <c r="S12" s="4">
        <f>SUM($O$2:O12)</f>
        <v>18317.770000000004</v>
      </c>
      <c r="T12" s="5">
        <f>IF(F12=0,0,O12/F12)</f>
        <v>0.7149797402597403</v>
      </c>
    </row>
    <row r="13" spans="1:20" x14ac:dyDescent="0.25">
      <c r="A13" s="2">
        <v>46178</v>
      </c>
      <c r="B13" s="3">
        <v>80</v>
      </c>
      <c r="C13" s="3">
        <v>0</v>
      </c>
      <c r="D13" s="4">
        <v>27.5</v>
      </c>
      <c r="E13" s="4">
        <v>0</v>
      </c>
      <c r="F13" s="4">
        <f>ROUND(B13*D13+C13*D13*1.5+E13,2)</f>
        <v>2200</v>
      </c>
      <c r="G13" s="4">
        <v>183.77</v>
      </c>
      <c r="H13" s="4">
        <v>84.9</v>
      </c>
      <c r="I13" s="4">
        <v>130.68</v>
      </c>
      <c r="J13" s="4">
        <v>30.56</v>
      </c>
      <c r="K13" s="4">
        <v>92.3</v>
      </c>
      <c r="L13" s="4">
        <v>110</v>
      </c>
      <c r="M13" s="4">
        <v>0</v>
      </c>
      <c r="N13" s="4">
        <f>SUM(G13:M13)</f>
        <v>632.21</v>
      </c>
      <c r="O13" s="4">
        <f>F13-N13</f>
        <v>1567.79</v>
      </c>
      <c r="P13" s="4">
        <v>1567.79</v>
      </c>
      <c r="Q13" t="str">
        <f>IF(ISBLANK(P13),"",IF(ROUND(O13-P13,2)=0,"Matches","Off by "&amp;TEXT(ABS(O13-P13),"$#,##0.00")))</f>
        <v>Matches</v>
      </c>
      <c r="R13" s="4">
        <f>SUM($F$2:F13)</f>
        <v>27848.75</v>
      </c>
      <c r="S13" s="4">
        <f>SUM($O$2:O13)</f>
        <v>19885.560000000005</v>
      </c>
      <c r="T13" s="5">
        <f>IF(F13=0,0,O13/F13)</f>
        <v>0.7126318181818182</v>
      </c>
    </row>
    <row r="14" spans="1:20" x14ac:dyDescent="0.25">
      <c r="A14" s="2">
        <v>46192</v>
      </c>
      <c r="B14" s="3">
        <v>80</v>
      </c>
      <c r="C14" s="3">
        <v>0</v>
      </c>
      <c r="D14" s="4">
        <v>27.5</v>
      </c>
      <c r="E14" s="4">
        <v>0</v>
      </c>
      <c r="F14" s="4">
        <f>ROUND(B14*D14+C14*D14*1.5+E14,2)</f>
        <v>2200</v>
      </c>
      <c r="G14" s="4">
        <v>183.77</v>
      </c>
      <c r="H14" s="4">
        <v>84.9</v>
      </c>
      <c r="I14" s="4">
        <v>130.68</v>
      </c>
      <c r="J14" s="4">
        <v>30.56</v>
      </c>
      <c r="K14" s="4">
        <v>92.3</v>
      </c>
      <c r="L14" s="4">
        <v>110</v>
      </c>
      <c r="M14" s="4">
        <v>0</v>
      </c>
      <c r="N14" s="4">
        <f>SUM(G14:M14)</f>
        <v>632.21</v>
      </c>
      <c r="O14" s="4">
        <f>F14-N14</f>
        <v>1567.79</v>
      </c>
      <c r="P14" s="4">
        <v>1567.79</v>
      </c>
      <c r="Q14" t="str">
        <f>IF(ISBLANK(P14),"",IF(ROUND(O14-P14,2)=0,"Matches","Off by "&amp;TEXT(ABS(O14-P14),"$#,##0.00")))</f>
        <v>Matches</v>
      </c>
      <c r="R14" s="4">
        <f>SUM($F$2:F14)</f>
        <v>30048.75</v>
      </c>
      <c r="S14" s="4">
        <f>SUM($O$2:O14)</f>
        <v>21453.350000000006</v>
      </c>
      <c r="T14" s="5">
        <f>IF(F14=0,0,O14/F14)</f>
        <v>0.7126318181818182</v>
      </c>
    </row>
    <row r="15" spans="1:20" x14ac:dyDescent="0.25">
      <c r="A15" s="2">
        <v>46206</v>
      </c>
      <c r="B15" s="3">
        <v>80</v>
      </c>
      <c r="C15" s="3">
        <v>0</v>
      </c>
      <c r="D15" s="4">
        <v>28.75</v>
      </c>
      <c r="E15" s="4">
        <v>0</v>
      </c>
      <c r="F15" s="4">
        <f>ROUND(B15*D15+C15*D15*1.5+E15,2)</f>
        <v>2300</v>
      </c>
      <c r="G15" s="4">
        <v>193.08</v>
      </c>
      <c r="H15" s="4">
        <v>88.94</v>
      </c>
      <c r="I15" s="4">
        <v>136.88</v>
      </c>
      <c r="J15" s="4">
        <v>32.01</v>
      </c>
      <c r="K15" s="4">
        <v>92.3</v>
      </c>
      <c r="L15" s="4">
        <v>115</v>
      </c>
      <c r="M15" s="4">
        <v>0</v>
      </c>
      <c r="N15" s="4">
        <f>SUM(G15:M15)</f>
        <v>658.2099999999999</v>
      </c>
      <c r="O15" s="4">
        <f>F15-N15</f>
        <v>1641.79</v>
      </c>
      <c r="P15" s="4">
        <v>1641.79</v>
      </c>
      <c r="Q15" t="str">
        <f>IF(ISBLANK(P15),"",IF(ROUND(O15-P15,2)=0,"Matches","Off by "&amp;TEXT(ABS(O15-P15),"$#,##0.00")))</f>
        <v>Matches</v>
      </c>
      <c r="R15" s="4">
        <f>SUM($F$2:F15)</f>
        <v>32348.75</v>
      </c>
      <c r="S15" s="4">
        <f>SUM($O$2:O15)</f>
        <v>23095.140000000007</v>
      </c>
      <c r="T15" s="5">
        <f>IF(F15=0,0,O15/F15)</f>
        <v>0.7138217391304348</v>
      </c>
    </row>
    <row r="16" spans="1:20" x14ac:dyDescent="0.25">
      <c r="A16" s="2">
        <v>46220</v>
      </c>
      <c r="B16" s="3">
        <v>80</v>
      </c>
      <c r="C16" s="3">
        <v>0</v>
      </c>
      <c r="D16" s="4">
        <v>28.75</v>
      </c>
      <c r="E16" s="4">
        <v>0</v>
      </c>
      <c r="F16" s="4">
        <f>ROUND(B16*D16+C16*D16*1.5+E16,2)</f>
        <v>2300</v>
      </c>
      <c r="G16" s="4">
        <v>193.08</v>
      </c>
      <c r="H16" s="4">
        <v>88.94</v>
      </c>
      <c r="I16" s="4">
        <v>136.88</v>
      </c>
      <c r="J16" s="4">
        <v>32.01</v>
      </c>
      <c r="K16" s="4">
        <v>92.3</v>
      </c>
      <c r="L16" s="4">
        <v>115</v>
      </c>
      <c r="M16" s="4">
        <v>0</v>
      </c>
      <c r="N16" s="4">
        <f>SUM(G16:M16)</f>
        <v>658.2099999999999</v>
      </c>
      <c r="O16" s="4">
        <f>F16-N16</f>
        <v>1641.79</v>
      </c>
      <c r="P16" s="4">
        <v>1641.79</v>
      </c>
      <c r="Q16" t="str">
        <f>IF(ISBLANK(P16),"",IF(ROUND(O16-P16,2)=0,"Matches","Off by "&amp;TEXT(ABS(O16-P16),"$#,##0.00")))</f>
        <v>Matches</v>
      </c>
      <c r="R16" s="4">
        <f>SUM($F$2:F16)</f>
        <v>34648.75</v>
      </c>
      <c r="S16" s="4">
        <f>SUM($O$2:O16)</f>
        <v>24736.930000000008</v>
      </c>
      <c r="T16" s="5">
        <f>IF(F16=0,0,O16/F16)</f>
        <v>0.7138217391304348</v>
      </c>
    </row>
    <row r="17" spans="1:20" x14ac:dyDescent="0.25">
      <c r="A17" s="2">
        <v>46234</v>
      </c>
      <c r="B17" s="3">
        <v>80</v>
      </c>
      <c r="C17" s="3">
        <v>3</v>
      </c>
      <c r="D17" s="4">
        <v>28.75</v>
      </c>
      <c r="E17" s="4">
        <v>0</v>
      </c>
      <c r="F17" s="4">
        <f>ROUND(B17*D17+C17*D17*1.5+E17,2)</f>
        <v>2429.38</v>
      </c>
      <c r="G17" s="4">
        <v>205.13</v>
      </c>
      <c r="H17" s="4">
        <v>94.16</v>
      </c>
      <c r="I17" s="4">
        <v>144.9</v>
      </c>
      <c r="J17" s="4">
        <v>33.89</v>
      </c>
      <c r="K17" s="4">
        <v>92.3</v>
      </c>
      <c r="L17" s="4">
        <v>121.47</v>
      </c>
      <c r="M17" s="4">
        <v>0</v>
      </c>
      <c r="N17" s="4">
        <f>SUM(G17:M17)</f>
        <v>691.8499999999999</v>
      </c>
      <c r="O17" s="4">
        <f>F17-N17</f>
        <v>1737.5300000000002</v>
      </c>
      <c r="P17" s="4">
        <v>1737.53</v>
      </c>
      <c r="Q17" t="str">
        <f>IF(ISBLANK(P17),"",IF(ROUND(O17-P17,2)=0,"Matches","Off by "&amp;TEXT(ABS(O17-P17),"$#,##0.00")))</f>
        <v>Matches</v>
      </c>
      <c r="R17" s="4">
        <f>SUM($F$2:F17)</f>
        <v>37078.13</v>
      </c>
      <c r="S17" s="4">
        <f>SUM($O$2:O17)</f>
        <v>26474.460000000006</v>
      </c>
      <c r="T17" s="5">
        <f>IF(F17=0,0,O17/F17)</f>
        <v>0.7152154047534762</v>
      </c>
    </row>
    <row r="18" spans="1:20" x14ac:dyDescent="0.25">
      <c r="A18" s="2">
        <v>46248</v>
      </c>
      <c r="B18" s="3">
        <v>80</v>
      </c>
      <c r="C18" s="3">
        <v>0</v>
      </c>
      <c r="D18" s="4">
        <v>28.75</v>
      </c>
      <c r="E18" s="4">
        <v>0</v>
      </c>
      <c r="F18" s="4">
        <f>ROUND(B18*D18+C18*D18*1.5+E18,2)</f>
        <v>2300</v>
      </c>
      <c r="G18" s="4">
        <v>193.08</v>
      </c>
      <c r="H18" s="4">
        <v>88.94</v>
      </c>
      <c r="I18" s="4">
        <v>136.88</v>
      </c>
      <c r="J18" s="4">
        <v>32.01</v>
      </c>
      <c r="K18" s="4">
        <v>92.3</v>
      </c>
      <c r="L18" s="4">
        <v>115</v>
      </c>
      <c r="M18" s="4">
        <v>0</v>
      </c>
      <c r="N18" s="4">
        <f>SUM(G18:M18)</f>
        <v>658.2099999999999</v>
      </c>
      <c r="O18" s="4">
        <f>F18-N18</f>
        <v>1641.79</v>
      </c>
      <c r="P18" s="4">
        <v>1616.79</v>
      </c>
      <c r="Q18" t="str">
        <f>IF(ISBLANK(P18),"",IF(ROUND(O18-P18,2)=0,"Matches","Off by "&amp;TEXT(ABS(O18-P18),"$#,##0.00")))</f>
        <v>Off by $25.00</v>
      </c>
      <c r="R18" s="4">
        <f>SUM($F$2:F18)</f>
        <v>39378.13</v>
      </c>
      <c r="S18" s="4">
        <f>SUM($O$2:O18)</f>
        <v>28116.250000000007</v>
      </c>
      <c r="T18" s="5">
        <f>IF(F18=0,0,O18/F18)</f>
        <v>0.7138217391304348</v>
      </c>
    </row>
    <row r="19" spans="1:20" x14ac:dyDescent="0.25">
      <c r="A19" s="2">
        <v>46262</v>
      </c>
      <c r="B19" s="3">
        <v>80</v>
      </c>
      <c r="C19" s="3">
        <v>0</v>
      </c>
      <c r="D19" s="4">
        <v>28.75</v>
      </c>
      <c r="E19" s="4">
        <v>0</v>
      </c>
      <c r="F19" s="4">
        <f>ROUND(B19*D19+C19*D19*1.5+E19,2)</f>
        <v>2300</v>
      </c>
      <c r="G19" s="4">
        <v>193.08</v>
      </c>
      <c r="H19" s="4">
        <v>88.94</v>
      </c>
      <c r="I19" s="4">
        <v>136.88</v>
      </c>
      <c r="J19" s="4">
        <v>32.01</v>
      </c>
      <c r="K19" s="4">
        <v>92.3</v>
      </c>
      <c r="L19" s="4">
        <v>115</v>
      </c>
      <c r="M19" s="4">
        <v>0</v>
      </c>
      <c r="N19" s="4">
        <f>SUM(G19:M19)</f>
        <v>658.2099999999999</v>
      </c>
      <c r="O19" s="4">
        <f>F19-N19</f>
        <v>1641.79</v>
      </c>
      <c r="P19" s="4">
        <v>1641.79</v>
      </c>
      <c r="Q19" t="str">
        <f>IF(ISBLANK(P19),"",IF(ROUND(O19-P19,2)=0,"Matches","Off by "&amp;TEXT(ABS(O19-P19),"$#,##0.00")))</f>
        <v>Matches</v>
      </c>
      <c r="R19" s="4">
        <f>SUM($F$2:F19)</f>
        <v>41678.13</v>
      </c>
      <c r="S19" s="4">
        <f>SUM($O$2:O19)</f>
        <v>29758.040000000008</v>
      </c>
      <c r="T19" s="5">
        <f>IF(F19=0,0,O19/F19)</f>
        <v>0.7138217391304348</v>
      </c>
    </row>
    <row r="20" spans="1:20" x14ac:dyDescent="0.25">
      <c r="A20" s="2">
        <v>46276</v>
      </c>
      <c r="B20" s="3">
        <v>80</v>
      </c>
      <c r="C20" s="3">
        <v>0</v>
      </c>
      <c r="D20" s="4">
        <v>28.75</v>
      </c>
      <c r="E20" s="4">
        <v>0</v>
      </c>
      <c r="F20" s="4">
        <f>ROUND(B20*D20+C20*D20*1.5+E20,2)</f>
        <v>2300</v>
      </c>
      <c r="G20" s="4">
        <v>193.08</v>
      </c>
      <c r="H20" s="4">
        <v>88.94</v>
      </c>
      <c r="I20" s="4">
        <v>136.88</v>
      </c>
      <c r="J20" s="4">
        <v>32.01</v>
      </c>
      <c r="K20" s="4">
        <v>92.3</v>
      </c>
      <c r="L20" s="4">
        <v>115</v>
      </c>
      <c r="M20" s="4">
        <v>0</v>
      </c>
      <c r="N20" s="4">
        <f>SUM(G20:M20)</f>
        <v>658.2099999999999</v>
      </c>
      <c r="O20" s="4">
        <f>F20-N20</f>
        <v>1641.79</v>
      </c>
      <c r="P20" s="4">
        <v>1641.79</v>
      </c>
      <c r="Q20" t="str">
        <f>IF(ISBLANK(P20),"",IF(ROUND(O20-P20,2)=0,"Matches","Off by "&amp;TEXT(ABS(O20-P20),"$#,##0.00")))</f>
        <v>Matches</v>
      </c>
      <c r="R20" s="4">
        <f>SUM($F$2:F20)</f>
        <v>43978.13</v>
      </c>
      <c r="S20" s="4">
        <f>SUM($O$2:O20)</f>
        <v>31399.83000000001</v>
      </c>
      <c r="T20" s="5">
        <f>IF(F20=0,0,O20/F20)</f>
        <v>0.7138217391304348</v>
      </c>
    </row>
    <row r="21" spans="1:20" x14ac:dyDescent="0.25">
      <c r="A21" s="2">
        <v>46290</v>
      </c>
      <c r="B21" s="3">
        <v>80</v>
      </c>
      <c r="C21" s="3">
        <v>6</v>
      </c>
      <c r="D21" s="4">
        <v>28.75</v>
      </c>
      <c r="E21" s="4">
        <v>0</v>
      </c>
      <c r="F21" s="4">
        <f>ROUND(B21*D21+C21*D21*1.5+E21,2)</f>
        <v>2558.75</v>
      </c>
      <c r="G21" s="4">
        <v>217.17</v>
      </c>
      <c r="H21" s="4">
        <v>99.39</v>
      </c>
      <c r="I21" s="4">
        <v>152.92</v>
      </c>
      <c r="J21" s="4">
        <v>35.76</v>
      </c>
      <c r="K21" s="4">
        <v>92.3</v>
      </c>
      <c r="L21" s="4">
        <v>127.94</v>
      </c>
      <c r="M21" s="4">
        <v>0</v>
      </c>
      <c r="N21" s="4">
        <f>SUM(G21:M21)</f>
        <v>725.48</v>
      </c>
      <c r="O21" s="4">
        <f>F21-N21</f>
        <v>1833.27</v>
      </c>
      <c r="P21" s="4">
        <v>1833.27</v>
      </c>
      <c r="Q21" t="str">
        <f>IF(ISBLANK(P21),"",IF(ROUND(O21-P21,2)=0,"Matches","Off by "&amp;TEXT(ABS(O21-P21),"$#,##0.00")))</f>
        <v>Matches</v>
      </c>
      <c r="R21" s="4">
        <f>SUM($F$2:F21)</f>
        <v>46536.88</v>
      </c>
      <c r="S21" s="4">
        <f>SUM($O$2:O21)</f>
        <v>33233.100000000006</v>
      </c>
      <c r="T21" s="5">
        <f>IF(F21=0,0,O21/F21)</f>
        <v>0.7164709330727894</v>
      </c>
    </row>
    <row r="22" spans="1:20" x14ac:dyDescent="0.25">
      <c r="A22" s="2">
        <v>46304</v>
      </c>
      <c r="B22" s="3">
        <v>80</v>
      </c>
      <c r="C22" s="3">
        <v>0</v>
      </c>
      <c r="D22" s="4">
        <v>28.75</v>
      </c>
      <c r="E22" s="4">
        <v>0</v>
      </c>
      <c r="F22" s="4">
        <f>ROUND(B22*D22+C22*D22*1.5+E22,2)</f>
        <v>2300</v>
      </c>
      <c r="G22" s="4">
        <v>193.08</v>
      </c>
      <c r="H22" s="4">
        <v>88.94</v>
      </c>
      <c r="I22" s="4">
        <v>136.88</v>
      </c>
      <c r="J22" s="4">
        <v>32.01</v>
      </c>
      <c r="K22" s="4">
        <v>92.3</v>
      </c>
      <c r="L22" s="4">
        <v>115</v>
      </c>
      <c r="M22" s="4">
        <v>0</v>
      </c>
      <c r="N22" s="4">
        <f>SUM(G22:M22)</f>
        <v>658.2099999999999</v>
      </c>
      <c r="O22" s="4">
        <f>F22-N22</f>
        <v>1641.79</v>
      </c>
      <c r="P22" s="4">
        <v>1641.79</v>
      </c>
      <c r="Q22" t="str">
        <f>IF(ISBLANK(P22),"",IF(ROUND(O22-P22,2)=0,"Matches","Off by "&amp;TEXT(ABS(O22-P22),"$#,##0.00")))</f>
        <v>Matches</v>
      </c>
      <c r="R22" s="4">
        <f>SUM($F$2:F22)</f>
        <v>48836.88</v>
      </c>
      <c r="S22" s="4">
        <f>SUM($O$2:O22)</f>
        <v>34874.89000000001</v>
      </c>
      <c r="T22" s="5">
        <f>IF(F22=0,0,O22/F22)</f>
        <v>0.7138217391304348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4" customWidth="1"/>
    <col min="3" max="3" width="13" customWidth="1"/>
    <col min="4" max="4" width="14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s="3">
        <f>COUNTA(Paychecks!A2:A500)</f>
        <v>21</v>
      </c>
      <c r="C2" s="4"/>
      <c r="D2" s="5"/>
    </row>
    <row r="3" spans="1:4" x14ac:dyDescent="0.25">
      <c r="A3" t="s">
        <v>1</v>
      </c>
      <c r="B3" s="3">
        <f>SUM(Paychecks!B2:B500)</f>
        <v>1680</v>
      </c>
      <c r="C3" s="3">
        <f>IF($B$2=0,0,B3/$B$2)</f>
        <v>80</v>
      </c>
      <c r="D3" s="5"/>
    </row>
    <row r="4" spans="1:4" x14ac:dyDescent="0.25">
      <c r="A4" t="s">
        <v>2</v>
      </c>
      <c r="B4" s="3">
        <f>SUM(Paychecks!C2:C500)</f>
        <v>32</v>
      </c>
      <c r="C4" s="3">
        <f>IF($B$2=0,0,B4/$B$2)</f>
        <v>1.5238095238095237</v>
      </c>
      <c r="D4" s="5"/>
    </row>
    <row r="5" spans="1:4" x14ac:dyDescent="0.25">
      <c r="A5" t="s">
        <v>4</v>
      </c>
      <c r="B5" s="4">
        <f>SUM(Paychecks!E2:E500)</f>
        <v>500</v>
      </c>
      <c r="C5" s="4">
        <f>IF($B$2=0,0,B5/$B$2)</f>
        <v>23.80952380952381</v>
      </c>
      <c r="D5" s="5">
        <f>IF($B$6=0,0,B5/$B$6)</f>
        <v>0.010238164272574334</v>
      </c>
    </row>
    <row r="6" spans="1:4" x14ac:dyDescent="0.25">
      <c r="A6" t="s">
        <v>5</v>
      </c>
      <c r="B6" s="4">
        <f>SUM(Paychecks!F2:F500)</f>
        <v>48836.88</v>
      </c>
      <c r="C6" s="4">
        <f>IF($B$2=0,0,B6/$B$2)</f>
        <v>2325.565714285714</v>
      </c>
      <c r="D6" s="5">
        <f>IF($B$6=0,0,B6/$B$6)</f>
        <v>1</v>
      </c>
    </row>
    <row r="7" spans="1:4" x14ac:dyDescent="0.25">
      <c r="A7" t="s">
        <v>6</v>
      </c>
      <c r="B7" s="4">
        <f>SUM(Paychecks!G2:G500)</f>
        <v>4104.7</v>
      </c>
      <c r="C7" s="4">
        <f>IF($B$2=0,0,B7/$B$2)</f>
        <v>195.46190476190475</v>
      </c>
      <c r="D7" s="5">
        <f>IF($B$6=0,0,B7/$B$6)</f>
        <v>0.08404918577927173</v>
      </c>
    </row>
    <row r="8" spans="1:4" x14ac:dyDescent="0.25">
      <c r="A8" t="s">
        <v>7</v>
      </c>
      <c r="B8" s="4">
        <f>SUM(Paychecks!H2:H500)</f>
        <v>1889.3900000000006</v>
      </c>
      <c r="C8" s="4">
        <f>IF($B$2=0,0,B8/$B$2)</f>
        <v>89.97095238095241</v>
      </c>
      <c r="D8" s="5">
        <f>IF($B$6=0,0,B8/$B$6)</f>
        <v>0.038687770389918455</v>
      </c>
    </row>
    <row r="9" spans="1:4" x14ac:dyDescent="0.25">
      <c r="A9" t="s">
        <v>8</v>
      </c>
      <c r="B9" s="4">
        <f>SUM(Paychecks!I2:I500)</f>
        <v>2907.7500000000014</v>
      </c>
      <c r="C9" s="4">
        <f>IF($B$2=0,0,B9/$B$2)</f>
        <v>138.46428571428578</v>
      </c>
      <c r="D9" s="5">
        <f>IF($B$6=0,0,B9/$B$6)</f>
        <v>0.059540044327156066</v>
      </c>
    </row>
    <row r="10" spans="1:4" x14ac:dyDescent="0.25">
      <c r="A10" t="s">
        <v>9</v>
      </c>
      <c r="B10" s="4">
        <f>SUM(Paychecks!J2:J500)</f>
        <v>680</v>
      </c>
      <c r="C10" s="4">
        <f>IF($B$2=0,0,B10/$B$2)</f>
        <v>32.38095238095238</v>
      </c>
      <c r="D10" s="5">
        <f>IF($B$6=0,0,B10/$B$6)</f>
        <v>0.013923903410701094</v>
      </c>
    </row>
    <row r="11" spans="1:4" x14ac:dyDescent="0.25">
      <c r="A11" t="s">
        <v>10</v>
      </c>
      <c r="B11" s="4">
        <f>SUM(Paychecks!K2:K500)</f>
        <v>1938.2999999999993</v>
      </c>
      <c r="C11" s="4">
        <f>IF($B$2=0,0,B11/$B$2)</f>
        <v>92.29999999999997</v>
      </c>
      <c r="D11" s="5">
        <f>IF($B$6=0,0,B11/$B$6)</f>
        <v>0.03968926761906165</v>
      </c>
    </row>
    <row r="12" spans="1:4" x14ac:dyDescent="0.25">
      <c r="A12" t="s">
        <v>11</v>
      </c>
      <c r="B12" s="4">
        <f>SUM(Paychecks!L2:L500)</f>
        <v>2441.85</v>
      </c>
      <c r="C12" s="4">
        <f>IF($B$2=0,0,B12/$B$2)</f>
        <v>116.27857142857142</v>
      </c>
      <c r="D12" s="5">
        <f>IF($B$6=0,0,B12/$B$6)</f>
        <v>0.05000012285797127</v>
      </c>
    </row>
    <row r="13" spans="1:4" x14ac:dyDescent="0.25">
      <c r="A13" t="s">
        <v>12</v>
      </c>
      <c r="B13" s="4">
        <f>SUM(Paychecks!M2:M500)</f>
        <v>0</v>
      </c>
      <c r="C13" s="4">
        <f>IF($B$2=0,0,B13/$B$2)</f>
        <v>0</v>
      </c>
      <c r="D13" s="5">
        <f>IF($B$6=0,0,B13/$B$6)</f>
        <v>0</v>
      </c>
    </row>
    <row r="14" spans="1:4" x14ac:dyDescent="0.25">
      <c r="A14" t="s">
        <v>13</v>
      </c>
      <c r="B14" s="4">
        <f>SUM(Paychecks!N2:N500)</f>
        <v>13961.989999999994</v>
      </c>
      <c r="C14" s="4">
        <f>IF($B$2=0,0,B14/$B$2)</f>
        <v>664.8566666666663</v>
      </c>
      <c r="D14" s="5">
        <f>IF($B$6=0,0,B14/$B$6)</f>
        <v>0.28589029438408015</v>
      </c>
    </row>
    <row r="15" spans="1:4" x14ac:dyDescent="0.25">
      <c r="A15" t="s">
        <v>14</v>
      </c>
      <c r="B15" s="4">
        <f>SUM(Paychecks!O2:O500)</f>
        <v>34874.89000000001</v>
      </c>
      <c r="C15" s="4">
        <f>IF($B$2=0,0,B15/$B$2)</f>
        <v>1660.7090476190479</v>
      </c>
      <c r="D15" s="5">
        <f>IF($B$6=0,0,B15/$B$6)</f>
        <v>0.7141097056159199</v>
      </c>
    </row>
    <row r="16" spans="1:4" x14ac:dyDescent="0.25">
      <c r="A16" t="s">
        <v>25</v>
      </c>
      <c r="B16" s="4">
        <f>SUM(B7:B10)</f>
        <v>9581.840000000002</v>
      </c>
      <c r="C16" s="4">
        <f>IF($B$2=0,0,B16/$B$2)</f>
        <v>456.2780952380953</v>
      </c>
      <c r="D16" s="5">
        <f>IF($B$6=0,0,B16/$B$6)</f>
        <v>0.19620090390704734</v>
      </c>
    </row>
    <row r="17" spans="1:4" x14ac:dyDescent="0.25">
      <c r="A17" t="s">
        <v>26</v>
      </c>
      <c r="B17" s="3">
        <f>COUNTIF(Paychecks!Q2:Q500,"Off*")</f>
        <v>1</v>
      </c>
      <c r="C17" s="4"/>
      <c r="D17" s="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0" customWidth="1"/>
    <col min="3" max="3" width="12" customWidth="1"/>
    <col min="4" max="4" width="11" customWidth="1"/>
    <col min="5" max="5" width="17" customWidth="1"/>
    <col min="6" max="7" width="12" customWidth="1"/>
  </cols>
  <sheetData>
    <row r="1" spans="1:7" s="1" customFormat="1" x14ac:dyDescent="0.25">
      <c r="A1" s="1" t="s">
        <v>27</v>
      </c>
      <c r="B1" s="1" t="s">
        <v>28</v>
      </c>
      <c r="C1" s="1" t="s">
        <v>5</v>
      </c>
      <c r="D1" s="1" t="s">
        <v>29</v>
      </c>
      <c r="E1" s="1" t="s">
        <v>30</v>
      </c>
      <c r="F1" s="1" t="s">
        <v>14</v>
      </c>
      <c r="G1" s="1" t="s">
        <v>31</v>
      </c>
    </row>
    <row r="2" spans="1:7" x14ac:dyDescent="0.25">
      <c r="A2" s="6">
        <f>DATE(YEAR(Paychecks!A2),1,1)</f>
        <v>46023</v>
      </c>
      <c r="B2" s="3">
        <f>COUNTIFS(Paychecks!A2:A500,"&gt;="&amp;A2,Paychecks!A2:A500,"&lt;="&amp;EOMONTH(A2,0))</f>
        <v>3</v>
      </c>
      <c r="C2" s="4">
        <f>SUMIFS(Paychecks!F2:F500,Paychecks!A2:A500,"&gt;="&amp;A2,Paychecks!A2:A500,"&lt;="&amp;EOMONTH(A2,0))</f>
        <v>6765</v>
      </c>
      <c r="D2" s="4">
        <f>SUMIFS(Paychecks!G2:G500,Paychecks!A2:A500,"&gt;="&amp;A2,Paychecks!A2:A500,"&lt;="&amp;EOMONTH(A2,0))+SUMIFS(Paychecks!H2:H500,Paychecks!A2:A500,"&gt;="&amp;A2,Paychecks!A2:A500,"&lt;="&amp;EOMONTH(A2,0))+SUMIFS(Paychecks!I2:I500,Paychecks!A2:A500,"&gt;="&amp;A2,Paychecks!A2:A500,"&lt;="&amp;EOMONTH(A2,0))+SUMIFS(Paychecks!J2:J500,Paychecks!A2:A500,"&gt;="&amp;A2,Paychecks!A2:A500,"&lt;="&amp;EOMONTH(A2,0))</f>
        <v>1324.3799999999999</v>
      </c>
      <c r="E2" s="4">
        <f>SUMIFS(Paychecks!K2:K500,Paychecks!A2:A500,"&gt;="&amp;A2,Paychecks!A2:A500,"&lt;="&amp;EOMONTH(A2,0))+SUMIFS(Paychecks!L2:L500,Paychecks!A2:A500,"&gt;="&amp;A2,Paychecks!A2:A500,"&lt;="&amp;EOMONTH(A2,0))+SUMIFS(Paychecks!M2:M500,Paychecks!A2:A500,"&gt;="&amp;A2,Paychecks!A2:A500,"&lt;="&amp;EOMONTH(A2,0))</f>
        <v>615.15</v>
      </c>
      <c r="F2" s="4">
        <f>SUMIFS(Paychecks!O2:O500,Paychecks!A2:A500,"&gt;="&amp;A2,Paychecks!A2:A500,"&lt;="&amp;EOMONTH(A2,0))</f>
        <v>4825.469999999999</v>
      </c>
      <c r="G2" t="str">
        <f>IF(B2&gt;2,"3 paychecks","")</f>
        <v>3 paychecks</v>
      </c>
    </row>
    <row r="3" spans="1:7" x14ac:dyDescent="0.25">
      <c r="A3" s="6">
        <f>DATE(YEAR($A$2),2,1)</f>
        <v>46054</v>
      </c>
      <c r="B3" s="3">
        <f>COUNTIFS(Paychecks!A2:A500,"&gt;="&amp;A3,Paychecks!A2:A500,"&lt;="&amp;EOMONTH(A3,0))</f>
        <v>2</v>
      </c>
      <c r="C3" s="4">
        <f>SUMIFS(Paychecks!F2:F500,Paychecks!A2:A500,"&gt;="&amp;A3,Paychecks!A2:A500,"&lt;="&amp;EOMONTH(A3,0))</f>
        <v>4647.5</v>
      </c>
      <c r="D3" s="4">
        <f>SUMIFS(Paychecks!G2:G500,Paychecks!A2:A500,"&gt;="&amp;A3,Paychecks!A2:A500,"&lt;="&amp;EOMONTH(A3,0))+SUMIFS(Paychecks!H2:H500,Paychecks!A2:A500,"&gt;="&amp;A3,Paychecks!A2:A500,"&lt;="&amp;EOMONTH(A3,0))+SUMIFS(Paychecks!I2:I500,Paychecks!A2:A500,"&gt;="&amp;A3,Paychecks!A2:A500,"&lt;="&amp;EOMONTH(A3,0))+SUMIFS(Paychecks!J2:J500,Paychecks!A2:A500,"&gt;="&amp;A3,Paychecks!A2:A500,"&lt;="&amp;EOMONTH(A3,0))</f>
        <v>911.7900000000002</v>
      </c>
      <c r="E3" s="4">
        <f>SUMIFS(Paychecks!K2:K500,Paychecks!A2:A500,"&gt;="&amp;A3,Paychecks!A2:A500,"&lt;="&amp;EOMONTH(A3,0))+SUMIFS(Paychecks!L2:L500,Paychecks!A2:A500,"&gt;="&amp;A3,Paychecks!A2:A500,"&lt;="&amp;EOMONTH(A3,0))+SUMIFS(Paychecks!M2:M500,Paychecks!A2:A500,"&gt;="&amp;A3,Paychecks!A2:A500,"&lt;="&amp;EOMONTH(A3,0))</f>
        <v>416.98</v>
      </c>
      <c r="F3" s="4">
        <f>SUMIFS(Paychecks!O2:O500,Paychecks!A2:A500,"&gt;="&amp;A3,Paychecks!A2:A500,"&lt;="&amp;EOMONTH(A3,0))</f>
        <v>3318.73</v>
      </c>
      <c r="G3" t="str">
        <f>IF(B3&gt;2,"3 paychecks","")</f>
        <v/>
      </c>
    </row>
    <row r="4" spans="1:7" x14ac:dyDescent="0.25">
      <c r="A4" s="6">
        <f>DATE(YEAR($A$2),3,1)</f>
        <v>46082</v>
      </c>
      <c r="B4" s="3">
        <f>COUNTIFS(Paychecks!A2:A500,"&gt;="&amp;A4,Paychecks!A2:A500,"&lt;="&amp;EOMONTH(A4,0))</f>
        <v>2</v>
      </c>
      <c r="C4" s="4">
        <f>SUMIFS(Paychecks!F2:F500,Paychecks!A2:A500,"&gt;="&amp;A4,Paychecks!A2:A500,"&lt;="&amp;EOMONTH(A4,0))</f>
        <v>4900</v>
      </c>
      <c r="D4" s="4">
        <f>SUMIFS(Paychecks!G2:G500,Paychecks!A2:A500,"&gt;="&amp;A4,Paychecks!A2:A500,"&lt;="&amp;EOMONTH(A4,0))+SUMIFS(Paychecks!H2:H500,Paychecks!A2:A500,"&gt;="&amp;A4,Paychecks!A2:A500,"&lt;="&amp;EOMONTH(A4,0))+SUMIFS(Paychecks!I2:I500,Paychecks!A2:A500,"&gt;="&amp;A4,Paychecks!A2:A500,"&lt;="&amp;EOMONTH(A4,0))+SUMIFS(Paychecks!J2:J500,Paychecks!A2:A500,"&gt;="&amp;A4,Paychecks!A2:A500,"&lt;="&amp;EOMONTH(A4,0))</f>
        <v>964.8100000000001</v>
      </c>
      <c r="E4" s="4">
        <f>SUMIFS(Paychecks!K2:K500,Paychecks!A2:A500,"&gt;="&amp;A4,Paychecks!A2:A500,"&lt;="&amp;EOMONTH(A4,0))+SUMIFS(Paychecks!L2:L500,Paychecks!A2:A500,"&gt;="&amp;A4,Paychecks!A2:A500,"&lt;="&amp;EOMONTH(A4,0))+SUMIFS(Paychecks!M2:M500,Paychecks!A2:A500,"&gt;="&amp;A4,Paychecks!A2:A500,"&lt;="&amp;EOMONTH(A4,0))</f>
        <v>429.6</v>
      </c>
      <c r="F4" s="4">
        <f>SUMIFS(Paychecks!O2:O500,Paychecks!A2:A500,"&gt;="&amp;A4,Paychecks!A2:A500,"&lt;="&amp;EOMONTH(A4,0))</f>
        <v>3505.59</v>
      </c>
      <c r="G4" t="str">
        <f>IF(B4&gt;2,"3 paychecks","")</f>
        <v/>
      </c>
    </row>
    <row r="5" spans="1:7" x14ac:dyDescent="0.25">
      <c r="A5" s="6">
        <f>DATE(YEAR($A$2),4,1)</f>
        <v>46113</v>
      </c>
      <c r="B5" s="3">
        <f>COUNTIFS(Paychecks!A2:A500,"&gt;="&amp;A5,Paychecks!A2:A500,"&lt;="&amp;EOMONTH(A5,0))</f>
        <v>2</v>
      </c>
      <c r="C5" s="4">
        <f>SUMIFS(Paychecks!F2:F500,Paychecks!A2:A500,"&gt;="&amp;A5,Paychecks!A2:A500,"&lt;="&amp;EOMONTH(A5,0))</f>
        <v>4400</v>
      </c>
      <c r="D5" s="4">
        <f>SUMIFS(Paychecks!G2:G500,Paychecks!A2:A500,"&gt;="&amp;A5,Paychecks!A2:A500,"&lt;="&amp;EOMONTH(A5,0))+SUMIFS(Paychecks!H2:H500,Paychecks!A2:A500,"&gt;="&amp;A5,Paychecks!A2:A500,"&lt;="&amp;EOMONTH(A5,0))+SUMIFS(Paychecks!I2:I500,Paychecks!A2:A500,"&gt;="&amp;A5,Paychecks!A2:A500,"&lt;="&amp;EOMONTH(A5,0))+SUMIFS(Paychecks!J2:J500,Paychecks!A2:A500,"&gt;="&amp;A5,Paychecks!A2:A500,"&lt;="&amp;EOMONTH(A5,0))</f>
        <v>859.82</v>
      </c>
      <c r="E5" s="4">
        <f>SUMIFS(Paychecks!K2:K500,Paychecks!A2:A500,"&gt;="&amp;A5,Paychecks!A2:A500,"&lt;="&amp;EOMONTH(A5,0))+SUMIFS(Paychecks!L2:L500,Paychecks!A2:A500,"&gt;="&amp;A5,Paychecks!A2:A500,"&lt;="&amp;EOMONTH(A5,0))+SUMIFS(Paychecks!M2:M500,Paychecks!A2:A500,"&gt;="&amp;A5,Paychecks!A2:A500,"&lt;="&amp;EOMONTH(A5,0))</f>
        <v>404.6</v>
      </c>
      <c r="F5" s="4">
        <f>SUMIFS(Paychecks!O2:O500,Paychecks!A2:A500,"&gt;="&amp;A5,Paychecks!A2:A500,"&lt;="&amp;EOMONTH(A5,0))</f>
        <v>3135.58</v>
      </c>
      <c r="G5" t="str">
        <f>IF(B5&gt;2,"3 paychecks","")</f>
        <v/>
      </c>
    </row>
    <row r="6" spans="1:7" x14ac:dyDescent="0.25">
      <c r="A6" s="6">
        <f>DATE(YEAR($A$2),5,1)</f>
        <v>46143</v>
      </c>
      <c r="B6" s="3">
        <f>COUNTIFS(Paychecks!A2:A500,"&gt;="&amp;A6,Paychecks!A2:A500,"&lt;="&amp;EOMONTH(A6,0))</f>
        <v>2</v>
      </c>
      <c r="C6" s="4">
        <f>SUMIFS(Paychecks!F2:F500,Paychecks!A2:A500,"&gt;="&amp;A6,Paychecks!A2:A500,"&lt;="&amp;EOMONTH(A6,0))</f>
        <v>4936.25</v>
      </c>
      <c r="D6" s="4">
        <f>SUMIFS(Paychecks!G2:G500,Paychecks!A2:A500,"&gt;="&amp;A6,Paychecks!A2:A500,"&lt;="&amp;EOMONTH(A6,0))+SUMIFS(Paychecks!H2:H500,Paychecks!A2:A500,"&gt;="&amp;A6,Paychecks!A2:A500,"&lt;="&amp;EOMONTH(A6,0))+SUMIFS(Paychecks!I2:I500,Paychecks!A2:A500,"&gt;="&amp;A6,Paychecks!A2:A500,"&lt;="&amp;EOMONTH(A6,0))+SUMIFS(Paychecks!J2:J500,Paychecks!A2:A500,"&gt;="&amp;A6,Paychecks!A2:A500,"&lt;="&amp;EOMONTH(A6,0))</f>
        <v>972.44</v>
      </c>
      <c r="E6" s="4">
        <f>SUMIFS(Paychecks!K2:K500,Paychecks!A2:A500,"&gt;="&amp;A6,Paychecks!A2:A500,"&lt;="&amp;EOMONTH(A6,0))+SUMIFS(Paychecks!L2:L500,Paychecks!A2:A500,"&gt;="&amp;A6,Paychecks!A2:A500,"&lt;="&amp;EOMONTH(A6,0))+SUMIFS(Paychecks!M2:M500,Paychecks!A2:A500,"&gt;="&amp;A6,Paychecks!A2:A500,"&lt;="&amp;EOMONTH(A6,0))</f>
        <v>431.40999999999997</v>
      </c>
      <c r="F6" s="4">
        <f>SUMIFS(Paychecks!O2:O500,Paychecks!A2:A500,"&gt;="&amp;A6,Paychecks!A2:A500,"&lt;="&amp;EOMONTH(A6,0))</f>
        <v>3532.4</v>
      </c>
      <c r="G6" t="str">
        <f>IF(B6&gt;2,"3 paychecks","")</f>
        <v/>
      </c>
    </row>
    <row r="7" spans="1:7" x14ac:dyDescent="0.25">
      <c r="A7" s="6">
        <f>DATE(YEAR($A$2),6,1)</f>
        <v>46174</v>
      </c>
      <c r="B7" s="3">
        <f>COUNTIFS(Paychecks!A2:A500,"&gt;="&amp;A7,Paychecks!A2:A500,"&lt;="&amp;EOMONTH(A7,0))</f>
        <v>2</v>
      </c>
      <c r="C7" s="4">
        <f>SUMIFS(Paychecks!F2:F500,Paychecks!A2:A500,"&gt;="&amp;A7,Paychecks!A2:A500,"&lt;="&amp;EOMONTH(A7,0))</f>
        <v>4400</v>
      </c>
      <c r="D7" s="4">
        <f>SUMIFS(Paychecks!G2:G500,Paychecks!A2:A500,"&gt;="&amp;A7,Paychecks!A2:A500,"&lt;="&amp;EOMONTH(A7,0))+SUMIFS(Paychecks!H2:H500,Paychecks!A2:A500,"&gt;="&amp;A7,Paychecks!A2:A500,"&lt;="&amp;EOMONTH(A7,0))+SUMIFS(Paychecks!I2:I500,Paychecks!A2:A500,"&gt;="&amp;A7,Paychecks!A2:A500,"&lt;="&amp;EOMONTH(A7,0))+SUMIFS(Paychecks!J2:J500,Paychecks!A2:A500,"&gt;="&amp;A7,Paychecks!A2:A500,"&lt;="&amp;EOMONTH(A7,0))</f>
        <v>859.82</v>
      </c>
      <c r="E7" s="4">
        <f>SUMIFS(Paychecks!K2:K500,Paychecks!A2:A500,"&gt;="&amp;A7,Paychecks!A2:A500,"&lt;="&amp;EOMONTH(A7,0))+SUMIFS(Paychecks!L2:L500,Paychecks!A2:A500,"&gt;="&amp;A7,Paychecks!A2:A500,"&lt;="&amp;EOMONTH(A7,0))+SUMIFS(Paychecks!M2:M500,Paychecks!A2:A500,"&gt;="&amp;A7,Paychecks!A2:A500,"&lt;="&amp;EOMONTH(A7,0))</f>
        <v>404.6</v>
      </c>
      <c r="F7" s="4">
        <f>SUMIFS(Paychecks!O2:O500,Paychecks!A2:A500,"&gt;="&amp;A7,Paychecks!A2:A500,"&lt;="&amp;EOMONTH(A7,0))</f>
        <v>3135.58</v>
      </c>
      <c r="G7" t="str">
        <f>IF(B7&gt;2,"3 paychecks","")</f>
        <v/>
      </c>
    </row>
    <row r="8" spans="1:7" x14ac:dyDescent="0.25">
      <c r="A8" s="6">
        <f>DATE(YEAR($A$2),7,1)</f>
        <v>46204</v>
      </c>
      <c r="B8" s="3">
        <f>COUNTIFS(Paychecks!A2:A500,"&gt;="&amp;A8,Paychecks!A2:A500,"&lt;="&amp;EOMONTH(A8,0))</f>
        <v>3</v>
      </c>
      <c r="C8" s="4">
        <f>SUMIFS(Paychecks!F2:F500,Paychecks!A2:A500,"&gt;="&amp;A8,Paychecks!A2:A500,"&lt;="&amp;EOMONTH(A8,0))</f>
        <v>7029.38</v>
      </c>
      <c r="D8" s="4">
        <f>SUMIFS(Paychecks!G2:G500,Paychecks!A2:A500,"&gt;="&amp;A8,Paychecks!A2:A500,"&lt;="&amp;EOMONTH(A8,0))+SUMIFS(Paychecks!H2:H500,Paychecks!A2:A500,"&gt;="&amp;A8,Paychecks!A2:A500,"&lt;="&amp;EOMONTH(A8,0))+SUMIFS(Paychecks!I2:I500,Paychecks!A2:A500,"&gt;="&amp;A8,Paychecks!A2:A500,"&lt;="&amp;EOMONTH(A8,0))+SUMIFS(Paychecks!J2:J500,Paychecks!A2:A500,"&gt;="&amp;A8,Paychecks!A2:A500,"&lt;="&amp;EOMONTH(A8,0))</f>
        <v>1379.8999999999999</v>
      </c>
      <c r="E8" s="4">
        <f>SUMIFS(Paychecks!K2:K500,Paychecks!A2:A500,"&gt;="&amp;A8,Paychecks!A2:A500,"&lt;="&amp;EOMONTH(A8,0))+SUMIFS(Paychecks!L2:L500,Paychecks!A2:A500,"&gt;="&amp;A8,Paychecks!A2:A500,"&lt;="&amp;EOMONTH(A8,0))+SUMIFS(Paychecks!M2:M500,Paychecks!A2:A500,"&gt;="&amp;A8,Paychecks!A2:A500,"&lt;="&amp;EOMONTH(A8,0))</f>
        <v>628.37</v>
      </c>
      <c r="F8" s="4">
        <f>SUMIFS(Paychecks!O2:O500,Paychecks!A2:A500,"&gt;="&amp;A8,Paychecks!A2:A500,"&lt;="&amp;EOMONTH(A8,0))</f>
        <v>5021.110000000001</v>
      </c>
      <c r="G8" t="str">
        <f>IF(B8&gt;2,"3 paychecks","")</f>
        <v>3 paychecks</v>
      </c>
    </row>
    <row r="9" spans="1:7" x14ac:dyDescent="0.25">
      <c r="A9" s="6">
        <f>DATE(YEAR($A$2),8,1)</f>
        <v>46235</v>
      </c>
      <c r="B9" s="3">
        <f>COUNTIFS(Paychecks!A2:A500,"&gt;="&amp;A9,Paychecks!A2:A500,"&lt;="&amp;EOMONTH(A9,0))</f>
        <v>2</v>
      </c>
      <c r="C9" s="4">
        <f>SUMIFS(Paychecks!F2:F500,Paychecks!A2:A500,"&gt;="&amp;A9,Paychecks!A2:A500,"&lt;="&amp;EOMONTH(A9,0))</f>
        <v>4600</v>
      </c>
      <c r="D9" s="4">
        <f>SUMIFS(Paychecks!G2:G500,Paychecks!A2:A500,"&gt;="&amp;A9,Paychecks!A2:A500,"&lt;="&amp;EOMONTH(A9,0))+SUMIFS(Paychecks!H2:H500,Paychecks!A2:A500,"&gt;="&amp;A9,Paychecks!A2:A500,"&lt;="&amp;EOMONTH(A9,0))+SUMIFS(Paychecks!I2:I500,Paychecks!A2:A500,"&gt;="&amp;A9,Paychecks!A2:A500,"&lt;="&amp;EOMONTH(A9,0))+SUMIFS(Paychecks!J2:J500,Paychecks!A2:A500,"&gt;="&amp;A9,Paychecks!A2:A500,"&lt;="&amp;EOMONTH(A9,0))</f>
        <v>901.8199999999999</v>
      </c>
      <c r="E9" s="4">
        <f>SUMIFS(Paychecks!K2:K500,Paychecks!A2:A500,"&gt;="&amp;A9,Paychecks!A2:A500,"&lt;="&amp;EOMONTH(A9,0))+SUMIFS(Paychecks!L2:L500,Paychecks!A2:A500,"&gt;="&amp;A9,Paychecks!A2:A500,"&lt;="&amp;EOMONTH(A9,0))+SUMIFS(Paychecks!M2:M500,Paychecks!A2:A500,"&gt;="&amp;A9,Paychecks!A2:A500,"&lt;="&amp;EOMONTH(A9,0))</f>
        <v>414.6</v>
      </c>
      <c r="F9" s="4">
        <f>SUMIFS(Paychecks!O2:O500,Paychecks!A2:A500,"&gt;="&amp;A9,Paychecks!A2:A500,"&lt;="&amp;EOMONTH(A9,0))</f>
        <v>3283.58</v>
      </c>
      <c r="G9" t="str">
        <f>IF(B9&gt;2,"3 paychecks","")</f>
        <v/>
      </c>
    </row>
    <row r="10" spans="1:7" x14ac:dyDescent="0.25">
      <c r="A10" s="6">
        <f>DATE(YEAR($A$2),9,1)</f>
        <v>46266</v>
      </c>
      <c r="B10" s="3">
        <f>COUNTIFS(Paychecks!A2:A500,"&gt;="&amp;A10,Paychecks!A2:A500,"&lt;="&amp;EOMONTH(A10,0))</f>
        <v>2</v>
      </c>
      <c r="C10" s="4">
        <f>SUMIFS(Paychecks!F2:F500,Paychecks!A2:A500,"&gt;="&amp;A10,Paychecks!A2:A500,"&lt;="&amp;EOMONTH(A10,0))</f>
        <v>4858.75</v>
      </c>
      <c r="D10" s="4">
        <f>SUMIFS(Paychecks!G2:G500,Paychecks!A2:A500,"&gt;="&amp;A10,Paychecks!A2:A500,"&lt;="&amp;EOMONTH(A10,0))+SUMIFS(Paychecks!H2:H500,Paychecks!A2:A500,"&gt;="&amp;A10,Paychecks!A2:A500,"&lt;="&amp;EOMONTH(A10,0))+SUMIFS(Paychecks!I2:I500,Paychecks!A2:A500,"&gt;="&amp;A10,Paychecks!A2:A500,"&lt;="&amp;EOMONTH(A10,0))+SUMIFS(Paychecks!J2:J500,Paychecks!A2:A500,"&gt;="&amp;A10,Paychecks!A2:A500,"&lt;="&amp;EOMONTH(A10,0))</f>
        <v>956.1499999999999</v>
      </c>
      <c r="E10" s="4">
        <f>SUMIFS(Paychecks!K2:K500,Paychecks!A2:A500,"&gt;="&amp;A10,Paychecks!A2:A500,"&lt;="&amp;EOMONTH(A10,0))+SUMIFS(Paychecks!L2:L500,Paychecks!A2:A500,"&gt;="&amp;A10,Paychecks!A2:A500,"&lt;="&amp;EOMONTH(A10,0))+SUMIFS(Paychecks!M2:M500,Paychecks!A2:A500,"&gt;="&amp;A10,Paychecks!A2:A500,"&lt;="&amp;EOMONTH(A10,0))</f>
        <v>427.53999999999996</v>
      </c>
      <c r="F10" s="4">
        <f>SUMIFS(Paychecks!O2:O500,Paychecks!A2:A500,"&gt;="&amp;A10,Paychecks!A2:A500,"&lt;="&amp;EOMONTH(A10,0))</f>
        <v>3475.06</v>
      </c>
      <c r="G10" t="str">
        <f>IF(B10&gt;2,"3 paychecks","")</f>
        <v/>
      </c>
    </row>
    <row r="11" spans="1:7" x14ac:dyDescent="0.25">
      <c r="A11" s="6">
        <f>DATE(YEAR($A$2),10,1)</f>
        <v>46296</v>
      </c>
      <c r="B11" s="3">
        <f>COUNTIFS(Paychecks!A2:A500,"&gt;="&amp;A11,Paychecks!A2:A500,"&lt;="&amp;EOMONTH(A11,0))</f>
        <v>1</v>
      </c>
      <c r="C11" s="4">
        <f>SUMIFS(Paychecks!F2:F500,Paychecks!A2:A500,"&gt;="&amp;A11,Paychecks!A2:A500,"&lt;="&amp;EOMONTH(A11,0))</f>
        <v>2300</v>
      </c>
      <c r="D11" s="4">
        <f>SUMIFS(Paychecks!G2:G500,Paychecks!A2:A500,"&gt;="&amp;A11,Paychecks!A2:A500,"&lt;="&amp;EOMONTH(A11,0))+SUMIFS(Paychecks!H2:H500,Paychecks!A2:A500,"&gt;="&amp;A11,Paychecks!A2:A500,"&lt;="&amp;EOMONTH(A11,0))+SUMIFS(Paychecks!I2:I500,Paychecks!A2:A500,"&gt;="&amp;A11,Paychecks!A2:A500,"&lt;="&amp;EOMONTH(A11,0))+SUMIFS(Paychecks!J2:J500,Paychecks!A2:A500,"&gt;="&amp;A11,Paychecks!A2:A500,"&lt;="&amp;EOMONTH(A11,0))</f>
        <v>450.90999999999997</v>
      </c>
      <c r="E11" s="4">
        <f>SUMIFS(Paychecks!K2:K500,Paychecks!A2:A500,"&gt;="&amp;A11,Paychecks!A2:A500,"&lt;="&amp;EOMONTH(A11,0))+SUMIFS(Paychecks!L2:L500,Paychecks!A2:A500,"&gt;="&amp;A11,Paychecks!A2:A500,"&lt;="&amp;EOMONTH(A11,0))+SUMIFS(Paychecks!M2:M500,Paychecks!A2:A500,"&gt;="&amp;A11,Paychecks!A2:A500,"&lt;="&amp;EOMONTH(A11,0))</f>
        <v>207.3</v>
      </c>
      <c r="F11" s="4">
        <f>SUMIFS(Paychecks!O2:O500,Paychecks!A2:A500,"&gt;="&amp;A11,Paychecks!A2:A500,"&lt;="&amp;EOMONTH(A11,0))</f>
        <v>1641.79</v>
      </c>
      <c r="G11" t="str">
        <f>IF(B11&gt;2,"3 paychecks","")</f>
        <v/>
      </c>
    </row>
    <row r="12" spans="1:7" x14ac:dyDescent="0.25">
      <c r="A12" s="6">
        <f>DATE(YEAR($A$2),11,1)</f>
        <v>46327</v>
      </c>
      <c r="B12" s="3">
        <f>COUNTIFS(Paychecks!A2:A500,"&gt;="&amp;A12,Paychecks!A2:A500,"&lt;="&amp;EOMONTH(A12,0))</f>
        <v>0</v>
      </c>
      <c r="C12" s="4">
        <f>SUMIFS(Paychecks!F2:F500,Paychecks!A2:A500,"&gt;="&amp;A12,Paychecks!A2:A500,"&lt;="&amp;EOMONTH(A12,0))</f>
        <v>0</v>
      </c>
      <c r="D12" s="4">
        <f>SUMIFS(Paychecks!G2:G500,Paychecks!A2:A500,"&gt;="&amp;A12,Paychecks!A2:A500,"&lt;="&amp;EOMONTH(A12,0))+SUMIFS(Paychecks!H2:H500,Paychecks!A2:A500,"&gt;="&amp;A12,Paychecks!A2:A500,"&lt;="&amp;EOMONTH(A12,0))+SUMIFS(Paychecks!I2:I500,Paychecks!A2:A500,"&gt;="&amp;A12,Paychecks!A2:A500,"&lt;="&amp;EOMONTH(A12,0))+SUMIFS(Paychecks!J2:J500,Paychecks!A2:A500,"&gt;="&amp;A12,Paychecks!A2:A500,"&lt;="&amp;EOMONTH(A12,0))</f>
        <v>0</v>
      </c>
      <c r="E12" s="4">
        <f>SUMIFS(Paychecks!K2:K500,Paychecks!A2:A500,"&gt;="&amp;A12,Paychecks!A2:A500,"&lt;="&amp;EOMONTH(A12,0))+SUMIFS(Paychecks!L2:L500,Paychecks!A2:A500,"&gt;="&amp;A12,Paychecks!A2:A500,"&lt;="&amp;EOMONTH(A12,0))+SUMIFS(Paychecks!M2:M500,Paychecks!A2:A500,"&gt;="&amp;A12,Paychecks!A2:A500,"&lt;="&amp;EOMONTH(A12,0))</f>
        <v>0</v>
      </c>
      <c r="F12" s="4">
        <f>SUMIFS(Paychecks!O2:O500,Paychecks!A2:A500,"&gt;="&amp;A12,Paychecks!A2:A500,"&lt;="&amp;EOMONTH(A12,0))</f>
        <v>0</v>
      </c>
      <c r="G12" t="str">
        <f>IF(B12&gt;2,"3 paychecks","")</f>
        <v/>
      </c>
    </row>
    <row r="13" spans="1:7" x14ac:dyDescent="0.25">
      <c r="A13" s="6">
        <f>DATE(YEAR($A$2),12,1)</f>
        <v>46357</v>
      </c>
      <c r="B13" s="3">
        <f>COUNTIFS(Paychecks!A2:A500,"&gt;="&amp;A13,Paychecks!A2:A500,"&lt;="&amp;EOMONTH(A13,0))</f>
        <v>0</v>
      </c>
      <c r="C13" s="4">
        <f>SUMIFS(Paychecks!F2:F500,Paychecks!A2:A500,"&gt;="&amp;A13,Paychecks!A2:A500,"&lt;="&amp;EOMONTH(A13,0))</f>
        <v>0</v>
      </c>
      <c r="D13" s="4">
        <f>SUMIFS(Paychecks!G2:G500,Paychecks!A2:A500,"&gt;="&amp;A13,Paychecks!A2:A500,"&lt;="&amp;EOMONTH(A13,0))+SUMIFS(Paychecks!H2:H500,Paychecks!A2:A500,"&gt;="&amp;A13,Paychecks!A2:A500,"&lt;="&amp;EOMONTH(A13,0))+SUMIFS(Paychecks!I2:I500,Paychecks!A2:A500,"&gt;="&amp;A13,Paychecks!A2:A500,"&lt;="&amp;EOMONTH(A13,0))+SUMIFS(Paychecks!J2:J500,Paychecks!A2:A500,"&gt;="&amp;A13,Paychecks!A2:A500,"&lt;="&amp;EOMONTH(A13,0))</f>
        <v>0</v>
      </c>
      <c r="E13" s="4">
        <f>SUMIFS(Paychecks!K2:K500,Paychecks!A2:A500,"&gt;="&amp;A13,Paychecks!A2:A500,"&lt;="&amp;EOMONTH(A13,0))+SUMIFS(Paychecks!L2:L500,Paychecks!A2:A500,"&gt;="&amp;A13,Paychecks!A2:A500,"&lt;="&amp;EOMONTH(A13,0))+SUMIFS(Paychecks!M2:M500,Paychecks!A2:A500,"&gt;="&amp;A13,Paychecks!A2:A500,"&lt;="&amp;EOMONTH(A13,0))</f>
        <v>0</v>
      </c>
      <c r="F13" s="4">
        <f>SUMIFS(Paychecks!O2:O500,Paychecks!A2:A500,"&gt;="&amp;A13,Paychecks!A2:A500,"&lt;="&amp;EOMONTH(A13,0))</f>
        <v>0</v>
      </c>
      <c r="G13" t="str">
        <f>IF(B13&gt;2,"3 paychecks","")</f>
        <v/>
      </c>
    </row>
    <row r="14" spans="1:7" x14ac:dyDescent="0.25">
      <c r="A14" t="str">
        <f>"Total"</f>
        <v>Total</v>
      </c>
      <c r="B14" s="3">
        <f>SUM(B2:B13)</f>
        <v>21</v>
      </c>
      <c r="C14" s="4">
        <f>SUM(C2:C13)</f>
        <v>48836.88</v>
      </c>
      <c r="D14" s="4">
        <f>SUM(D2:D13)</f>
        <v>9581.839999999998</v>
      </c>
      <c r="E14" s="4">
        <f>SUM(E2:E13)</f>
        <v>4380.15</v>
      </c>
      <c r="F14" s="4">
        <f>SUM(F2:F13)</f>
        <v>34874.89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Paychecks</vt:lpstr>
      <vt:lpstr>Year to Date</vt:lpstr>
      <vt:lpstr>By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Paycheck Tracker</dc:title>
  <dc:subject/>
  <dc:description/>
  <cp:keywords/>
  <cp:category/>
  <cp:lastModifiedBy>Unknown</cp:lastModifiedBy>
  <dcterms:created xsi:type="dcterms:W3CDTF">2026-10-18T23:17:37Z</dcterms:created>
  <dcterms:modified xsi:type="dcterms:W3CDTF">2026-10-18T23:17:37Z</dcterms:modified>
</cp:coreProperties>
</file>