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y Run" state="visible" r:id="rId4"/>
    <sheet sheetId="2" name="Employees" state="visible" r:id="rId5"/>
    <sheet sheetId="3" name="Settings" state="visible" r:id="rId6"/>
    <sheet sheetId="4" name="Pay Stub" state="visible" r:id="rId7"/>
    <sheet sheetId="5" name="Payroll Summary" state="visible" r:id="rId8"/>
  </sheets>
  <calcPr calcId="171027"/>
</workbook>
</file>

<file path=xl/sharedStrings.xml><?xml version="1.0" encoding="utf-8"?>
<sst xmlns="http://schemas.openxmlformats.org/spreadsheetml/2006/main" count="94" uniqueCount="64">
  <si>
    <t>Employee</t>
  </si>
  <si>
    <t>Pay type</t>
  </si>
  <si>
    <t>Regular hours</t>
  </si>
  <si>
    <t>Overtime hours</t>
  </si>
  <si>
    <t>Rate</t>
  </si>
  <si>
    <t>Gross pay</t>
  </si>
  <si>
    <t>Federal income tax</t>
  </si>
  <si>
    <t>State income tax</t>
  </si>
  <si>
    <t>Social Security</t>
  </si>
  <si>
    <t>Medicare</t>
  </si>
  <si>
    <t>Other deductions</t>
  </si>
  <si>
    <t>Net pay</t>
  </si>
  <si>
    <t>Maria Lopez</t>
  </si>
  <si>
    <t>James Carter</t>
  </si>
  <si>
    <t>Aisha Brown</t>
  </si>
  <si>
    <t>Kevin Nguyen</t>
  </si>
  <si>
    <t>Rosa Martinez</t>
  </si>
  <si>
    <t>Tyler Reed</t>
  </si>
  <si>
    <t>Total</t>
  </si>
  <si>
    <t>Hourly rate</t>
  </si>
  <si>
    <t>Salary per pay period</t>
  </si>
  <si>
    <t>Federal withholding (%)</t>
  </si>
  <si>
    <t>State withholding (%)</t>
  </si>
  <si>
    <t>Notes</t>
  </si>
  <si>
    <t>Salary</t>
  </si>
  <si>
    <t>Manager, health plan</t>
  </si>
  <si>
    <t>Hourly</t>
  </si>
  <si>
    <t>Lead cook</t>
  </si>
  <si>
    <t>Barista, 401(k)</t>
  </si>
  <si>
    <t>Cook, health plan</t>
  </si>
  <si>
    <t>Server</t>
  </si>
  <si>
    <t>Part-time dishwasher</t>
  </si>
  <si>
    <t>Setting</t>
  </si>
  <si>
    <t>Value</t>
  </si>
  <si>
    <t>Business name</t>
  </si>
  <si>
    <t>Corner Table Cafe</t>
  </si>
  <si>
    <t>Pay period start</t>
  </si>
  <si>
    <t>Pay period end</t>
  </si>
  <si>
    <t>Pay date</t>
  </si>
  <si>
    <t>Overtime pay (times hourly rate)</t>
  </si>
  <si>
    <t>Employee Social Security (%)</t>
  </si>
  <si>
    <t>Employee Medicare (%)</t>
  </si>
  <si>
    <t>Employer Social Security (%)</t>
  </si>
  <si>
    <t>Employer Medicare (%)</t>
  </si>
  <si>
    <t>Employer unemployment and other (%)</t>
  </si>
  <si>
    <t>Rates change. Check every rate above with the IRS, your state or your accountant before you run payroll.</t>
  </si>
  <si>
    <t>Pay stub</t>
  </si>
  <si>
    <t>Amount</t>
  </si>
  <si>
    <t>Business</t>
  </si>
  <si>
    <t>Total deductions</t>
  </si>
  <si>
    <t>Item</t>
  </si>
  <si>
    <t>Employees paid</t>
  </si>
  <si>
    <t>Total gross pay</t>
  </si>
  <si>
    <t>Federal income tax withheld</t>
  </si>
  <si>
    <t>State income tax withheld</t>
  </si>
  <si>
    <t>Social Security withheld</t>
  </si>
  <si>
    <t>Medicare withheld</t>
  </si>
  <si>
    <t>Total net pay to employees</t>
  </si>
  <si>
    <t>Employer Social Security</t>
  </si>
  <si>
    <t>Employer Medicare</t>
  </si>
  <si>
    <t>Employer unemployment and other</t>
  </si>
  <si>
    <t>Total cost of this payroll</t>
  </si>
  <si>
    <t>Taxes to set aside for deposits</t>
  </si>
  <si>
    <t>Check: gross minus deductions minus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</si>
</sst>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$&quot;#,##0.00"/>
    <numFmt numFmtId="166" formatCode="mmm d, yyyy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3" max="3" width="13" customWidth="1"/>
    <col min="4" max="4" width="14" customWidth="1"/>
    <col min="6" max="6" width="12" customWidth="1"/>
    <col min="7" max="7" width="17" customWidth="1"/>
    <col min="8" max="9" width="15" customWidth="1"/>
    <col min="10" max="10" width="10" customWidth="1"/>
    <col min="11" max="11" width="15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tr">
        <f>IFERROR(VLOOKUP(A2,Employees!$A$2:$H$50,2,FALSE),"Not found")</f>
        <v>Salary</v>
      </c>
      <c r="C2" s="2"/>
      <c r="D2" s="2"/>
      <c r="E2" s="3" t="str">
        <f>IF(B2="Hourly",VLOOKUP(A2,Employees!$A$2:$H$50,3,FALSE),"")</f>
        <v/>
      </c>
      <c r="F2" s="3">
        <f>IF(B2="Salary",VLOOKUP(A2,Employees!$A$2:$H$50,4,FALSE),IF(B2="Hourly",ROUND(C2*E2+D2*E2*Settings!$B$6,2),0))</f>
        <v>2150</v>
      </c>
      <c r="G2" s="3">
        <f>IFERROR(ROUND(F2*VLOOKUP(A2,Employees!$A$2:$H$50,5,FALSE)/100,2),0)</f>
        <v>215</v>
      </c>
      <c r="H2" s="3">
        <f>IFERROR(ROUND(F2*VLOOKUP(A2,Employees!$A$2:$H$50,6,FALSE)/100,2),0)</f>
        <v>86</v>
      </c>
      <c r="I2" s="3">
        <f>ROUND(F2*Settings!$B$7/100,2)</f>
        <v>133.3</v>
      </c>
      <c r="J2" s="3">
        <f>ROUND(F2*Settings!$B$8/100,2)</f>
        <v>31.18</v>
      </c>
      <c r="K2" s="3">
        <f>IFERROR(VLOOKUP(A2,Employees!$A$2:$H$50,7,FALSE),0)</f>
        <v>85</v>
      </c>
      <c r="L2" s="3">
        <f>F2-SUM(G2:K2)</f>
        <v>1599.52</v>
      </c>
    </row>
    <row r="3" spans="1:12" x14ac:dyDescent="0.25">
      <c r="A3" t="s">
        <v>13</v>
      </c>
      <c r="B3" t="str">
        <f>IFERROR(VLOOKUP(A3,Employees!$A$2:$H$50,2,FALSE),"Not found")</f>
        <v>Hourly</v>
      </c>
      <c r="C3" s="2">
        <v>80</v>
      </c>
      <c r="D3" s="2">
        <v>4</v>
      </c>
      <c r="E3" s="3">
        <f>IF(B3="Hourly",VLOOKUP(A3,Employees!$A$2:$H$50,3,FALSE),"")</f>
        <v>19.5</v>
      </c>
      <c r="F3" s="3">
        <f>IF(B3="Salary",VLOOKUP(A3,Employees!$A$2:$H$50,4,FALSE),IF(B3="Hourly",ROUND(C3*E3+D3*E3*Settings!$B$6,2),0))</f>
        <v>1677</v>
      </c>
      <c r="G3" s="3">
        <f>IFERROR(ROUND(F3*VLOOKUP(A3,Employees!$A$2:$H$50,5,FALSE)/100,2),0)</f>
        <v>134.16</v>
      </c>
      <c r="H3" s="3">
        <f>IFERROR(ROUND(F3*VLOOKUP(A3,Employees!$A$2:$H$50,6,FALSE)/100,2),0)</f>
        <v>67.08</v>
      </c>
      <c r="I3" s="3">
        <f>ROUND(F3*Settings!$B$7/100,2)</f>
        <v>103.97</v>
      </c>
      <c r="J3" s="3">
        <f>ROUND(F3*Settings!$B$8/100,2)</f>
        <v>24.32</v>
      </c>
      <c r="K3" s="3">
        <f>IFERROR(VLOOKUP(A3,Employees!$A$2:$H$50,7,FALSE),0)</f>
        <v>0</v>
      </c>
      <c r="L3" s="3">
        <f>F3-SUM(G3:K3)</f>
        <v>1347.47</v>
      </c>
    </row>
    <row r="4" spans="1:12" x14ac:dyDescent="0.25">
      <c r="A4" t="s">
        <v>14</v>
      </c>
      <c r="B4" t="str">
        <f>IFERROR(VLOOKUP(A4,Employees!$A$2:$H$50,2,FALSE),"Not found")</f>
        <v>Hourly</v>
      </c>
      <c r="C4" s="2">
        <v>72</v>
      </c>
      <c r="D4" s="2">
        <v>0</v>
      </c>
      <c r="E4" s="3">
        <f>IF(B4="Hourly",VLOOKUP(A4,Employees!$A$2:$H$50,3,FALSE),"")</f>
        <v>17</v>
      </c>
      <c r="F4" s="3">
        <f>IF(B4="Salary",VLOOKUP(A4,Employees!$A$2:$H$50,4,FALSE),IF(B4="Hourly",ROUND(C4*E4+D4*E4*Settings!$B$6,2),0))</f>
        <v>1224</v>
      </c>
      <c r="G4" s="3">
        <f>IFERROR(ROUND(F4*VLOOKUP(A4,Employees!$A$2:$H$50,5,FALSE)/100,2),0)</f>
        <v>73.44</v>
      </c>
      <c r="H4" s="3">
        <f>IFERROR(ROUND(F4*VLOOKUP(A4,Employees!$A$2:$H$50,6,FALSE)/100,2),0)</f>
        <v>48.96</v>
      </c>
      <c r="I4" s="3">
        <f>ROUND(F4*Settings!$B$7/100,2)</f>
        <v>75.89</v>
      </c>
      <c r="J4" s="3">
        <f>ROUND(F4*Settings!$B$8/100,2)</f>
        <v>17.75</v>
      </c>
      <c r="K4" s="3">
        <f>IFERROR(VLOOKUP(A4,Employees!$A$2:$H$50,7,FALSE),0)</f>
        <v>25</v>
      </c>
      <c r="L4" s="3">
        <f>F4-SUM(G4:K4)</f>
        <v>982.96</v>
      </c>
    </row>
    <row r="5" spans="1:12" x14ac:dyDescent="0.25">
      <c r="A5" t="s">
        <v>15</v>
      </c>
      <c r="B5" t="str">
        <f>IFERROR(VLOOKUP(A5,Employees!$A$2:$H$50,2,FALSE),"Not found")</f>
        <v>Hourly</v>
      </c>
      <c r="C5" s="2">
        <v>80</v>
      </c>
      <c r="D5" s="2">
        <v>6.5</v>
      </c>
      <c r="E5" s="3">
        <f>IF(B5="Hourly",VLOOKUP(A5,Employees!$A$2:$H$50,3,FALSE),"")</f>
        <v>21</v>
      </c>
      <c r="F5" s="3">
        <f>IF(B5="Salary",VLOOKUP(A5,Employees!$A$2:$H$50,4,FALSE),IF(B5="Hourly",ROUND(C5*E5+D5*E5*Settings!$B$6,2),0))</f>
        <v>1884.75</v>
      </c>
      <c r="G5" s="3">
        <f>IFERROR(ROUND(F5*VLOOKUP(A5,Employees!$A$2:$H$50,5,FALSE)/100,2),0)</f>
        <v>188.48</v>
      </c>
      <c r="H5" s="3">
        <f>IFERROR(ROUND(F5*VLOOKUP(A5,Employees!$A$2:$H$50,6,FALSE)/100,2),0)</f>
        <v>75.39</v>
      </c>
      <c r="I5" s="3">
        <f>ROUND(F5*Settings!$B$7/100,2)</f>
        <v>116.85</v>
      </c>
      <c r="J5" s="3">
        <f>ROUND(F5*Settings!$B$8/100,2)</f>
        <v>27.33</v>
      </c>
      <c r="K5" s="3">
        <f>IFERROR(VLOOKUP(A5,Employees!$A$2:$H$50,7,FALSE),0)</f>
        <v>85</v>
      </c>
      <c r="L5" s="3">
        <f>F5-SUM(G5:K5)</f>
        <v>1391.7</v>
      </c>
    </row>
    <row r="6" spans="1:12" x14ac:dyDescent="0.25">
      <c r="A6" t="s">
        <v>16</v>
      </c>
      <c r="B6" t="str">
        <f>IFERROR(VLOOKUP(A6,Employees!$A$2:$H$50,2,FALSE),"Not found")</f>
        <v>Hourly</v>
      </c>
      <c r="C6" s="2">
        <v>64</v>
      </c>
      <c r="D6" s="2">
        <v>0</v>
      </c>
      <c r="E6" s="3">
        <f>IF(B6="Hourly",VLOOKUP(A6,Employees!$A$2:$H$50,3,FALSE),"")</f>
        <v>16.5</v>
      </c>
      <c r="F6" s="3">
        <f>IF(B6="Salary",VLOOKUP(A6,Employees!$A$2:$H$50,4,FALSE),IF(B6="Hourly",ROUND(C6*E6+D6*E6*Settings!$B$6,2),0))</f>
        <v>1056</v>
      </c>
      <c r="G6" s="3">
        <f>IFERROR(ROUND(F6*VLOOKUP(A6,Employees!$A$2:$H$50,5,FALSE)/100,2),0)</f>
        <v>52.8</v>
      </c>
      <c r="H6" s="3">
        <f>IFERROR(ROUND(F6*VLOOKUP(A6,Employees!$A$2:$H$50,6,FALSE)/100,2),0)</f>
        <v>31.68</v>
      </c>
      <c r="I6" s="3">
        <f>ROUND(F6*Settings!$B$7/100,2)</f>
        <v>65.47</v>
      </c>
      <c r="J6" s="3">
        <f>ROUND(F6*Settings!$B$8/100,2)</f>
        <v>15.31</v>
      </c>
      <c r="K6" s="3">
        <f>IFERROR(VLOOKUP(A6,Employees!$A$2:$H$50,7,FALSE),0)</f>
        <v>0</v>
      </c>
      <c r="L6" s="3">
        <f>F6-SUM(G6:K6)</f>
        <v>890.74</v>
      </c>
    </row>
    <row r="7" spans="1:12" x14ac:dyDescent="0.25">
      <c r="A7" t="s">
        <v>17</v>
      </c>
      <c r="B7" t="str">
        <f>IFERROR(VLOOKUP(A7,Employees!$A$2:$H$50,2,FALSE),"Not found")</f>
        <v>Hourly</v>
      </c>
      <c r="C7" s="2">
        <v>38</v>
      </c>
      <c r="D7" s="2">
        <v>0</v>
      </c>
      <c r="E7" s="3">
        <f>IF(B7="Hourly",VLOOKUP(A7,Employees!$A$2:$H$50,3,FALSE),"")</f>
        <v>15</v>
      </c>
      <c r="F7" s="3">
        <f>IF(B7="Salary",VLOOKUP(A7,Employees!$A$2:$H$50,4,FALSE),IF(B7="Hourly",ROUND(C7*E7+D7*E7*Settings!$B$6,2),0))</f>
        <v>570</v>
      </c>
      <c r="G7" s="3">
        <f>IFERROR(ROUND(F7*VLOOKUP(A7,Employees!$A$2:$H$50,5,FALSE)/100,2),0)</f>
        <v>22.8</v>
      </c>
      <c r="H7" s="3">
        <f>IFERROR(ROUND(F7*VLOOKUP(A7,Employees!$A$2:$H$50,6,FALSE)/100,2),0)</f>
        <v>17.1</v>
      </c>
      <c r="I7" s="3">
        <f>ROUND(F7*Settings!$B$7/100,2)</f>
        <v>35.34</v>
      </c>
      <c r="J7" s="3">
        <f>ROUND(F7*Settings!$B$8/100,2)</f>
        <v>8.27</v>
      </c>
      <c r="K7" s="3">
        <f>IFERROR(VLOOKUP(A7,Employees!$A$2:$H$50,7,FALSE),0)</f>
        <v>0</v>
      </c>
      <c r="L7" s="3">
        <f>F7-SUM(G7:K7)</f>
        <v>486.49</v>
      </c>
    </row>
    <row r="8" spans="1:12" x14ac:dyDescent="0.25">
      <c r="A8" t="s">
        <v>18</v>
      </c>
      <c r="C8" s="4">
        <f>SUM(C2:C7)</f>
        <v>334</v>
      </c>
      <c r="D8" s="4">
        <f>SUM(D2:D7)</f>
        <v>10.5</v>
      </c>
      <c r="E8" s="3"/>
      <c r="F8" s="3">
        <f>SUM(F2:F7)</f>
        <v>8561.75</v>
      </c>
      <c r="G8" s="3">
        <f>SUM(G2:G7)</f>
        <v>686.6799999999998</v>
      </c>
      <c r="H8" s="3">
        <f>SUM(H2:H7)</f>
        <v>326.21000000000004</v>
      </c>
      <c r="I8" s="3">
        <f>SUM(I2:I7)</f>
        <v>530.82</v>
      </c>
      <c r="J8" s="3">
        <f>SUM(J2:J7)</f>
        <v>124.16</v>
      </c>
      <c r="K8" s="3">
        <f>SUM(K2:K7)</f>
        <v>195</v>
      </c>
      <c r="L8" s="3">
        <f>SUM(L2:L7)</f>
        <v>6698.879999999999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0" customWidth="1"/>
    <col min="3" max="3" width="11" customWidth="1"/>
    <col min="4" max="4" width="19" customWidth="1"/>
    <col min="5" max="5" width="21" customWidth="1"/>
    <col min="6" max="6" width="19" customWidth="1"/>
    <col min="7" max="7" width="15" customWidth="1"/>
    <col min="8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10</v>
      </c>
      <c r="H1" s="1" t="s">
        <v>23</v>
      </c>
    </row>
    <row r="2" spans="1:8" x14ac:dyDescent="0.25">
      <c r="A2" t="s">
        <v>12</v>
      </c>
      <c r="B2" t="s">
        <v>24</v>
      </c>
      <c r="C2" s="3"/>
      <c r="D2" s="3">
        <v>2150</v>
      </c>
      <c r="E2" s="2">
        <v>10</v>
      </c>
      <c r="F2" s="2">
        <v>4</v>
      </c>
      <c r="G2" s="3">
        <v>85</v>
      </c>
      <c r="H2" t="s">
        <v>25</v>
      </c>
    </row>
    <row r="3" spans="1:8" x14ac:dyDescent="0.25">
      <c r="A3" t="s">
        <v>13</v>
      </c>
      <c r="B3" t="s">
        <v>26</v>
      </c>
      <c r="C3" s="3">
        <v>19.5</v>
      </c>
      <c r="D3" s="3"/>
      <c r="E3" s="2">
        <v>8</v>
      </c>
      <c r="F3" s="2">
        <v>4</v>
      </c>
      <c r="G3" s="3">
        <v>0</v>
      </c>
      <c r="H3" t="s">
        <v>27</v>
      </c>
    </row>
    <row r="4" spans="1:8" x14ac:dyDescent="0.25">
      <c r="A4" t="s">
        <v>14</v>
      </c>
      <c r="B4" t="s">
        <v>26</v>
      </c>
      <c r="C4" s="3">
        <v>17</v>
      </c>
      <c r="D4" s="3"/>
      <c r="E4" s="2">
        <v>6</v>
      </c>
      <c r="F4" s="2">
        <v>4</v>
      </c>
      <c r="G4" s="3">
        <v>25</v>
      </c>
      <c r="H4" t="s">
        <v>28</v>
      </c>
    </row>
    <row r="5" spans="1:8" x14ac:dyDescent="0.25">
      <c r="A5" t="s">
        <v>15</v>
      </c>
      <c r="B5" t="s">
        <v>26</v>
      </c>
      <c r="C5" s="3">
        <v>21</v>
      </c>
      <c r="D5" s="3"/>
      <c r="E5" s="2">
        <v>10</v>
      </c>
      <c r="F5" s="2">
        <v>4</v>
      </c>
      <c r="G5" s="3">
        <v>85</v>
      </c>
      <c r="H5" t="s">
        <v>29</v>
      </c>
    </row>
    <row r="6" spans="1:8" x14ac:dyDescent="0.25">
      <c r="A6" t="s">
        <v>16</v>
      </c>
      <c r="B6" t="s">
        <v>26</v>
      </c>
      <c r="C6" s="3">
        <v>16.5</v>
      </c>
      <c r="D6" s="3"/>
      <c r="E6" s="2">
        <v>5</v>
      </c>
      <c r="F6" s="2">
        <v>3</v>
      </c>
      <c r="G6" s="3">
        <v>0</v>
      </c>
      <c r="H6" t="s">
        <v>30</v>
      </c>
    </row>
    <row r="7" spans="1:8" x14ac:dyDescent="0.25">
      <c r="A7" t="s">
        <v>17</v>
      </c>
      <c r="B7" t="s">
        <v>26</v>
      </c>
      <c r="C7" s="3">
        <v>15</v>
      </c>
      <c r="D7" s="3"/>
      <c r="E7" s="2">
        <v>4</v>
      </c>
      <c r="F7" s="2">
        <v>3</v>
      </c>
      <c r="G7" s="3">
        <v>0</v>
      </c>
      <c r="H7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16" customWidth="1"/>
  </cols>
  <sheetData>
    <row r="1" spans="1:2" s="1" customFormat="1" x14ac:dyDescent="0.25">
      <c r="A1" s="1" t="s">
        <v>32</v>
      </c>
      <c r="B1" s="1" t="s">
        <v>33</v>
      </c>
    </row>
    <row r="2" spans="1:2" x14ac:dyDescent="0.25">
      <c r="A2" t="s">
        <v>34</v>
      </c>
      <c r="B2" s="2" t="s">
        <v>35</v>
      </c>
    </row>
    <row r="3" spans="1:2" x14ac:dyDescent="0.25">
      <c r="A3" t="s">
        <v>36</v>
      </c>
      <c r="B3" s="5">
        <f>DATE(2026,10,4)</f>
        <v>46299</v>
      </c>
    </row>
    <row r="4" spans="1:2" x14ac:dyDescent="0.25">
      <c r="A4" t="s">
        <v>37</v>
      </c>
      <c r="B4" s="5">
        <f>DATE(2026,10,17)</f>
        <v>46312</v>
      </c>
    </row>
    <row r="5" spans="1:2" x14ac:dyDescent="0.25">
      <c r="A5" t="s">
        <v>38</v>
      </c>
      <c r="B5" s="5">
        <f>DATE(2026,10,23)</f>
        <v>46318</v>
      </c>
    </row>
    <row r="6" spans="1:2" x14ac:dyDescent="0.25">
      <c r="A6" t="s">
        <v>39</v>
      </c>
      <c r="B6" s="2">
        <v>1.5</v>
      </c>
    </row>
    <row r="7" spans="1:2" x14ac:dyDescent="0.25">
      <c r="A7" t="s">
        <v>40</v>
      </c>
      <c r="B7" s="2">
        <v>6.2</v>
      </c>
    </row>
    <row r="8" spans="1:2" x14ac:dyDescent="0.25">
      <c r="A8" t="s">
        <v>41</v>
      </c>
      <c r="B8" s="2">
        <v>1.45</v>
      </c>
    </row>
    <row r="9" spans="1:2" x14ac:dyDescent="0.25">
      <c r="A9" t="s">
        <v>42</v>
      </c>
      <c r="B9" s="2">
        <v>6.2</v>
      </c>
    </row>
    <row r="10" spans="1:2" x14ac:dyDescent="0.25">
      <c r="A10" t="s">
        <v>43</v>
      </c>
      <c r="B10" s="2">
        <v>1.45</v>
      </c>
    </row>
    <row r="11" spans="1:2" x14ac:dyDescent="0.25">
      <c r="A11" t="s">
        <v>44</v>
      </c>
      <c r="B11" s="2">
        <v>0</v>
      </c>
    </row>
    <row r="12" spans="1:2" x14ac:dyDescent="0.25">
      <c r="A12" t="s">
        <v>45</v>
      </c>
      <c r="B12" s="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8" customWidth="1"/>
  </cols>
  <sheetData>
    <row r="1" spans="1:2" s="1" customFormat="1" x14ac:dyDescent="0.25">
      <c r="A1" s="1" t="s">
        <v>46</v>
      </c>
      <c r="B1" s="1" t="s">
        <v>47</v>
      </c>
    </row>
    <row r="2" spans="1:2" x14ac:dyDescent="0.25">
      <c r="A2" t="s">
        <v>0</v>
      </c>
      <c r="B2" s="3" t="s">
        <v>14</v>
      </c>
    </row>
    <row r="3" spans="1:2" x14ac:dyDescent="0.25">
      <c r="A3" t="s">
        <v>48</v>
      </c>
      <c r="B3" t="str">
        <f>Settings!B2</f>
        <v>Corner Table Cafe</v>
      </c>
    </row>
    <row r="4" spans="1:2" x14ac:dyDescent="0.25">
      <c r="A4" t="s">
        <v>36</v>
      </c>
      <c r="B4" s="5">
        <f>Settings!B3</f>
        <v>46299</v>
      </c>
    </row>
    <row r="5" spans="1:2" x14ac:dyDescent="0.25">
      <c r="A5" t="s">
        <v>37</v>
      </c>
      <c r="B5" s="5">
        <f>Settings!B4</f>
        <v>46312</v>
      </c>
    </row>
    <row r="6" spans="1:2" x14ac:dyDescent="0.25">
      <c r="A6" t="s">
        <v>38</v>
      </c>
      <c r="B6" s="5">
        <f>Settings!B5</f>
        <v>46318</v>
      </c>
    </row>
    <row r="7" spans="1:2" x14ac:dyDescent="0.25">
      <c r="A7" t="s">
        <v>2</v>
      </c>
      <c r="B7" s="4">
        <f>IFERROR(VLOOKUP($B$2,'Pay Run'!$A$2:$L$50,3,FALSE),0)</f>
        <v>72</v>
      </c>
    </row>
    <row r="8" spans="1:2" x14ac:dyDescent="0.25">
      <c r="A8" t="s">
        <v>3</v>
      </c>
      <c r="B8" s="4">
        <f>IFERROR(VLOOKUP($B$2,'Pay Run'!$A$2:$L$50,4,FALSE),0)</f>
        <v>0</v>
      </c>
    </row>
    <row r="9" spans="1:2" x14ac:dyDescent="0.25">
      <c r="A9" t="s">
        <v>19</v>
      </c>
      <c r="B9" s="3">
        <f>IFERROR(VLOOKUP($B$2,'Pay Run'!$A$2:$L$50,5,FALSE),0)</f>
        <v>17</v>
      </c>
    </row>
    <row r="10" spans="1:2" x14ac:dyDescent="0.25">
      <c r="A10" t="s">
        <v>5</v>
      </c>
      <c r="B10" s="3">
        <f>IFERROR(VLOOKUP($B$2,'Pay Run'!$A$2:$L$50,6,FALSE),0)</f>
        <v>1224</v>
      </c>
    </row>
    <row r="11" spans="1:2" x14ac:dyDescent="0.25">
      <c r="A11" t="s">
        <v>6</v>
      </c>
      <c r="B11" s="3">
        <f>IFERROR(VLOOKUP($B$2,'Pay Run'!$A$2:$L$50,7,FALSE),0)</f>
        <v>73.44</v>
      </c>
    </row>
    <row r="12" spans="1:2" x14ac:dyDescent="0.25">
      <c r="A12" t="s">
        <v>7</v>
      </c>
      <c r="B12" s="3">
        <f>IFERROR(VLOOKUP($B$2,'Pay Run'!$A$2:$L$50,8,FALSE),0)</f>
        <v>48.96</v>
      </c>
    </row>
    <row r="13" spans="1:2" x14ac:dyDescent="0.25">
      <c r="A13" t="s">
        <v>8</v>
      </c>
      <c r="B13" s="3">
        <f>IFERROR(VLOOKUP($B$2,'Pay Run'!$A$2:$L$50,9,FALSE),0)</f>
        <v>75.89</v>
      </c>
    </row>
    <row r="14" spans="1:2" x14ac:dyDescent="0.25">
      <c r="A14" t="s">
        <v>9</v>
      </c>
      <c r="B14" s="3">
        <f>IFERROR(VLOOKUP($B$2,'Pay Run'!$A$2:$L$50,10,FALSE),0)</f>
        <v>17.75</v>
      </c>
    </row>
    <row r="15" spans="1:2" x14ac:dyDescent="0.25">
      <c r="A15" t="s">
        <v>10</v>
      </c>
      <c r="B15" s="3">
        <f>IFERROR(VLOOKUP($B$2,'Pay Run'!$A$2:$L$50,11,FALSE),0)</f>
        <v>25</v>
      </c>
    </row>
    <row r="16" spans="1:2" x14ac:dyDescent="0.25">
      <c r="A16" t="s">
        <v>49</v>
      </c>
      <c r="B16" s="3">
        <f>SUM(B11:B15)</f>
        <v>241.04000000000002</v>
      </c>
    </row>
    <row r="17" spans="1:2" x14ac:dyDescent="0.25">
      <c r="A17" t="s">
        <v>11</v>
      </c>
      <c r="B17" s="3">
        <f>IFERROR(VLOOKUP($B$2,'Pay Run'!$A$2:$L$50,12,FALSE),0)</f>
        <v>982.96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6" customWidth="1"/>
  </cols>
  <sheetData>
    <row r="1" spans="1:2" s="1" customFormat="1" x14ac:dyDescent="0.25">
      <c r="A1" s="1" t="s">
        <v>50</v>
      </c>
      <c r="B1" s="1" t="s">
        <v>47</v>
      </c>
    </row>
    <row r="2" spans="1:2" x14ac:dyDescent="0.25">
      <c r="A2" t="s">
        <v>51</v>
      </c>
      <c r="B2" s="2">
        <f>COUNTIF('Pay Run'!F2:F7,"&gt;0")</f>
        <v>6</v>
      </c>
    </row>
    <row r="3" spans="1:2" x14ac:dyDescent="0.25">
      <c r="A3" t="s">
        <v>52</v>
      </c>
      <c r="B3" s="3">
        <f>'Pay Run'!F8</f>
        <v>8561.75</v>
      </c>
    </row>
    <row r="4" spans="1:2" x14ac:dyDescent="0.25">
      <c r="A4" t="s">
        <v>53</v>
      </c>
      <c r="B4" s="3">
        <f>'Pay Run'!G8</f>
        <v>686.6799999999998</v>
      </c>
    </row>
    <row r="5" spans="1:2" x14ac:dyDescent="0.25">
      <c r="A5" t="s">
        <v>54</v>
      </c>
      <c r="B5" s="3">
        <f>'Pay Run'!H8</f>
        <v>326.21000000000004</v>
      </c>
    </row>
    <row r="6" spans="1:2" x14ac:dyDescent="0.25">
      <c r="A6" t="s">
        <v>55</v>
      </c>
      <c r="B6" s="3">
        <f>'Pay Run'!I8</f>
        <v>530.82</v>
      </c>
    </row>
    <row r="7" spans="1:2" x14ac:dyDescent="0.25">
      <c r="A7" t="s">
        <v>56</v>
      </c>
      <c r="B7" s="3">
        <f>'Pay Run'!J8</f>
        <v>124.16</v>
      </c>
    </row>
    <row r="8" spans="1:2" x14ac:dyDescent="0.25">
      <c r="A8" t="s">
        <v>10</v>
      </c>
      <c r="B8" s="3">
        <f>'Pay Run'!K8</f>
        <v>195</v>
      </c>
    </row>
    <row r="9" spans="1:2" x14ac:dyDescent="0.25">
      <c r="A9" t="s">
        <v>57</v>
      </c>
      <c r="B9" s="3">
        <f>'Pay Run'!L8</f>
        <v>6698.879999999999</v>
      </c>
    </row>
    <row r="10" spans="1:2" x14ac:dyDescent="0.25">
      <c r="A10" t="s">
        <v>58</v>
      </c>
      <c r="B10" s="3">
        <f>ROUND(B3*Settings!B9/100,2)</f>
        <v>530.83</v>
      </c>
    </row>
    <row r="11" spans="1:2" x14ac:dyDescent="0.25">
      <c r="A11" t="s">
        <v>59</v>
      </c>
      <c r="B11" s="3">
        <f>ROUND(B3*Settings!B10/100,2)</f>
        <v>124.15</v>
      </c>
    </row>
    <row r="12" spans="1:2" x14ac:dyDescent="0.25">
      <c r="A12" t="s">
        <v>60</v>
      </c>
      <c r="B12" s="3">
        <f>ROUND(B3*Settings!B11/100,2)</f>
        <v>0</v>
      </c>
    </row>
    <row r="13" spans="1:2" x14ac:dyDescent="0.25">
      <c r="A13" t="s">
        <v>61</v>
      </c>
      <c r="B13" s="3">
        <f>B3+SUM(B10:B12)</f>
        <v>9216.73</v>
      </c>
    </row>
    <row r="14" spans="1:2" x14ac:dyDescent="0.25">
      <c r="A14" t="s">
        <v>62</v>
      </c>
      <c r="B14" s="3">
        <f>SUM(B4:B7)+SUM(B10:B12)</f>
        <v>2322.8500000000004</v>
      </c>
    </row>
    <row r="15" spans="1:2" x14ac:dyDescent="0.25">
      <c r="A15" t="s">
        <v>63</v>
      </c>
      <c r="B15" s="3">
        <f>ROUND(B3-SUM(B4:B8)-B9,2)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Pay Run</vt:lpstr>
      <vt:lpstr>Employees</vt:lpstr>
      <vt:lpstr>Settings</vt:lpstr>
      <vt:lpstr>Pay Stub</vt:lpstr>
      <vt:lpstr>Payroll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Payroll</dc:title>
  <dc:subject/>
  <dc:description/>
  <cp:keywords/>
  <cp:category/>
  <cp:lastModifiedBy>Unknown</cp:lastModifiedBy>
  <dcterms:created xsi:type="dcterms:W3CDTF">2026-10-18T23:17:37Z</dcterms:created>
  <dcterms:modified xsi:type="dcterms:W3CDTF">2026-10-18T23:17:37Z</dcterms:modified>
</cp:coreProperties>
</file>