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Estimate" state="visible" r:id="rId5"/>
    <sheet sheetId="3" name="Job Profit" state="visible" r:id="rId6"/>
  </sheets>
  <calcPr calcId="171027"/>
</workbook>
</file>

<file path=xl/sharedStrings.xml><?xml version="1.0" encoding="utf-8"?>
<sst xmlns="http://schemas.openxmlformats.org/spreadsheetml/2006/main" count="104" uniqueCount="73">
  <si>
    <t>QUOTE</t>
  </si>
  <si>
    <t/>
  </si>
  <si>
    <t>Brightside Remodeling LLC</t>
  </si>
  <si>
    <t>Quote no.</t>
  </si>
  <si>
    <t>Q-2026-118</t>
  </si>
  <si>
    <t>1520 Lakeview Rd, Madison, WI 53704</t>
  </si>
  <si>
    <t>Quote date</t>
  </si>
  <si>
    <t>(608) 555-0193  |  quotes@brightsideremodel.com</t>
  </si>
  <si>
    <t>Valid for (days)</t>
  </si>
  <si>
    <t>Valid until</t>
  </si>
  <si>
    <t>Prepared for</t>
  </si>
  <si>
    <t>Quote total</t>
  </si>
  <si>
    <t>Karen and Mike Sullivan</t>
  </si>
  <si>
    <t>418 Birch St, Madison, WI 53711</t>
  </si>
  <si>
    <t>ksullivan@email.com  |  (608) 555-0127</t>
  </si>
  <si>
    <t>Job: Hall bathroom remodel. Replace tub with tiled walk-in shower, new tile floor, vanity, toilet and exhaust fan.</t>
  </si>
  <si>
    <t>What's included</t>
  </si>
  <si>
    <t>Price</t>
  </si>
  <si>
    <t>Labor</t>
  </si>
  <si>
    <t>Materials</t>
  </si>
  <si>
    <t>Equipment and disposal</t>
  </si>
  <si>
    <t>Subcontractors</t>
  </si>
  <si>
    <t>Subtotal</t>
  </si>
  <si>
    <t>Sales tax rate</t>
  </si>
  <si>
    <t>Sales tax</t>
  </si>
  <si>
    <t>Total</t>
  </si>
  <si>
    <t>Deposit to book</t>
  </si>
  <si>
    <t>Deposit due</t>
  </si>
  <si>
    <t>Due on completion</t>
  </si>
  <si>
    <t>Estimated time on site: 2 to 3 weeks. Start date set when the deposit is received.</t>
  </si>
  <si>
    <t>Prices are good until the Valid until date. Changes to the scope are quoted separately before work starts.</t>
  </si>
  <si>
    <t>Accepted by (signature and date):</t>
  </si>
  <si>
    <t>Section</t>
  </si>
  <si>
    <t>Item</t>
  </si>
  <si>
    <t>Qty</t>
  </si>
  <si>
    <t>Unit</t>
  </si>
  <si>
    <t>Unit cost</t>
  </si>
  <si>
    <t>Your cost</t>
  </si>
  <si>
    <t>Markup</t>
  </si>
  <si>
    <t>Profit</t>
  </si>
  <si>
    <t>Demo old tub, tile and vanity</t>
  </si>
  <si>
    <t>hours</t>
  </si>
  <si>
    <t>Rough plumbing for new shower valve</t>
  </si>
  <si>
    <t>Install cement board and waterproofing</t>
  </si>
  <si>
    <t>Tile walls and floor</t>
  </si>
  <si>
    <t>Set vanity, toilet and fixtures</t>
  </si>
  <si>
    <t>Paint and trim</t>
  </si>
  <si>
    <t>Porcelain wall and floor tile</t>
  </si>
  <si>
    <t>sq ft</t>
  </si>
  <si>
    <t>Thinset, grout and waterproofing</t>
  </si>
  <si>
    <t>lot</t>
  </si>
  <si>
    <t>Cement board and screws</t>
  </si>
  <si>
    <t>sheets</t>
  </si>
  <si>
    <t>Shower valve and trim kit</t>
  </si>
  <si>
    <t>each</t>
  </si>
  <si>
    <t>36 in vanity with top</t>
  </si>
  <si>
    <t>Toilet</t>
  </si>
  <si>
    <t>Paint, caulk and trim</t>
  </si>
  <si>
    <t>Dumpster, 10 yard</t>
  </si>
  <si>
    <t>Tile saw rental</t>
  </si>
  <si>
    <t>days</t>
  </si>
  <si>
    <t>Electrician: GFCI outlet and exhaust fan</t>
  </si>
  <si>
    <t>job</t>
  </si>
  <si>
    <t>Amount</t>
  </si>
  <si>
    <t>Price to customer (before tax)</t>
  </si>
  <si>
    <t>Profit margin</t>
  </si>
  <si>
    <t>Overall markup</t>
  </si>
  <si>
    <t>Labor hours</t>
  </si>
  <si>
    <t>Labor cost</t>
  </si>
  <si>
    <t>Materials cost</t>
  </si>
  <si>
    <t>Equipment and disposal cost</t>
  </si>
  <si>
    <t>Subcontractor cost</t>
  </si>
  <si>
    <t>Lines not in a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</si>
</sst>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"/>
    <numFmt numFmtId="165" formatCode="mmm d, yyyy"/>
    <numFmt numFmtId="166" formatCode="#,##0.##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6" customWidth="1"/>
    <col min="3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1</v>
      </c>
      <c r="D1" s="1" t="s">
        <v>1</v>
      </c>
    </row>
    <row r="2" spans="1:4" x14ac:dyDescent="0.25">
      <c r="A2" t="s">
        <v>2</v>
      </c>
      <c r="C2" t="s">
        <v>3</v>
      </c>
      <c r="D2" s="2" t="s">
        <v>4</v>
      </c>
    </row>
    <row r="3" spans="1:4" x14ac:dyDescent="0.25">
      <c r="A3" t="s">
        <v>5</v>
      </c>
      <c r="C3" t="s">
        <v>6</v>
      </c>
      <c r="D3" s="3">
        <f>DATE(2026,10,14)</f>
        <v>46309</v>
      </c>
    </row>
    <row r="4" spans="1:4" x14ac:dyDescent="0.25">
      <c r="A4" t="s">
        <v>7</v>
      </c>
      <c r="C4" t="s">
        <v>8</v>
      </c>
      <c r="D4" s="4">
        <f>30</f>
        <v>30</v>
      </c>
    </row>
    <row r="5" spans="1:4" x14ac:dyDescent="0.25">
      <c r="C5" t="s">
        <v>9</v>
      </c>
      <c r="D5" s="3">
        <f>D3+D4</f>
        <v>46339</v>
      </c>
    </row>
    <row r="6" spans="1:4" x14ac:dyDescent="0.25">
      <c r="D6" s="2"/>
    </row>
    <row r="7" spans="1:4" x14ac:dyDescent="0.25">
      <c r="A7" t="s">
        <v>10</v>
      </c>
      <c r="C7" t="s">
        <v>11</v>
      </c>
      <c r="D7" s="2">
        <f>D22</f>
        <v>8586.64</v>
      </c>
    </row>
    <row r="8" spans="1:4" x14ac:dyDescent="0.25">
      <c r="A8" t="s">
        <v>12</v>
      </c>
      <c r="D8" s="2"/>
    </row>
    <row r="9" spans="1:4" x14ac:dyDescent="0.25">
      <c r="A9" t="s">
        <v>13</v>
      </c>
      <c r="D9" s="2"/>
    </row>
    <row r="10" spans="1:4" x14ac:dyDescent="0.25">
      <c r="A10" t="s">
        <v>14</v>
      </c>
      <c r="D10" s="2"/>
    </row>
    <row r="11" spans="1:4" x14ac:dyDescent="0.25">
      <c r="D11" s="2"/>
    </row>
    <row r="12" spans="1:4" x14ac:dyDescent="0.25">
      <c r="A12" t="s">
        <v>15</v>
      </c>
      <c r="D12" s="2"/>
    </row>
    <row r="13" spans="1:4" x14ac:dyDescent="0.25">
      <c r="D13" s="2"/>
    </row>
    <row r="14" spans="1:4" x14ac:dyDescent="0.25">
      <c r="A14" t="s">
        <v>16</v>
      </c>
      <c r="D14" s="2" t="s">
        <v>17</v>
      </c>
    </row>
    <row r="15" spans="1:4" x14ac:dyDescent="0.25">
      <c r="A15" t="s">
        <v>18</v>
      </c>
      <c r="D15" s="2">
        <f>SUMIF(Estimate!A2:A100,"Labor",Estimate!H2:H100)</f>
        <v>4218.75</v>
      </c>
    </row>
    <row r="16" spans="1:4" x14ac:dyDescent="0.25">
      <c r="A16" t="s">
        <v>19</v>
      </c>
      <c r="D16" s="2">
        <f>SUMIF(Estimate!A2:A100,"Materials",Estimate!H2:H100)</f>
        <v>2718</v>
      </c>
    </row>
    <row r="17" spans="1:4" x14ac:dyDescent="0.25">
      <c r="A17" t="s">
        <v>20</v>
      </c>
      <c r="D17" s="2">
        <f>SUMIF(Estimate!A2:A100,"Equipment and disposal",Estimate!H2:H100)</f>
        <v>713</v>
      </c>
    </row>
    <row r="18" spans="1:4" x14ac:dyDescent="0.25">
      <c r="A18" t="s">
        <v>21</v>
      </c>
      <c r="D18" s="2">
        <f>SUMIF(Estimate!A2:A100,"Subcontractors",Estimate!H2:H100)</f>
        <v>528</v>
      </c>
    </row>
    <row r="19" spans="1:4" x14ac:dyDescent="0.25">
      <c r="C19" t="s">
        <v>22</v>
      </c>
      <c r="D19" s="2">
        <f>SUM(D15:D18)</f>
        <v>8177.75</v>
      </c>
    </row>
    <row r="20" spans="1:4" x14ac:dyDescent="0.25">
      <c r="C20" t="s">
        <v>23</v>
      </c>
      <c r="D20" s="5">
        <f>0.05</f>
        <v>0.05</v>
      </c>
    </row>
    <row r="21" spans="1:4" x14ac:dyDescent="0.25">
      <c r="C21" t="s">
        <v>24</v>
      </c>
      <c r="D21" s="2">
        <f>ROUND(D19*D20,2)</f>
        <v>408.89</v>
      </c>
    </row>
    <row r="22" spans="1:4" x14ac:dyDescent="0.25">
      <c r="C22" t="s">
        <v>25</v>
      </c>
      <c r="D22" s="2">
        <f>D19+D21</f>
        <v>8586.64</v>
      </c>
    </row>
    <row r="23" spans="1:4" x14ac:dyDescent="0.25">
      <c r="C23" t="s">
        <v>26</v>
      </c>
      <c r="D23" s="5">
        <f>0.3</f>
        <v>0.3</v>
      </c>
    </row>
    <row r="24" spans="1:4" x14ac:dyDescent="0.25">
      <c r="C24" t="s">
        <v>27</v>
      </c>
      <c r="D24" s="2">
        <f>ROUND(D22*D23,2)</f>
        <v>2575.99</v>
      </c>
    </row>
    <row r="25" spans="1:4" x14ac:dyDescent="0.25">
      <c r="C25" t="s">
        <v>28</v>
      </c>
      <c r="D25" s="2">
        <f>D22-D24</f>
        <v>6010.65</v>
      </c>
    </row>
    <row r="26" spans="1:4" x14ac:dyDescent="0.25">
      <c r="D26" s="2"/>
    </row>
    <row r="27" spans="1:4" x14ac:dyDescent="0.25">
      <c r="A27" t="s">
        <v>29</v>
      </c>
      <c r="D27" s="2"/>
    </row>
    <row r="28" spans="1:4" x14ac:dyDescent="0.25">
      <c r="A28" t="s">
        <v>30</v>
      </c>
      <c r="D28" s="2"/>
    </row>
    <row r="29" spans="1:4" x14ac:dyDescent="0.25">
      <c r="D29" s="2"/>
    </row>
    <row r="30" spans="1:4" x14ac:dyDescent="0.25">
      <c r="A30" t="s">
        <v>31</v>
      </c>
      <c r="D30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7" customWidth="1"/>
    <col min="4" max="4" width="8" customWidth="1"/>
    <col min="5" max="5" width="11" customWidth="1"/>
    <col min="6" max="6" width="12" customWidth="1"/>
    <col min="8" max="8" width="12" customWidth="1"/>
    <col min="9" max="9" width="11" customWidth="1"/>
  </cols>
  <sheetData>
    <row r="1" spans="1:9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17</v>
      </c>
      <c r="I1" s="1" t="s">
        <v>39</v>
      </c>
    </row>
    <row r="2" spans="1:9" x14ac:dyDescent="0.25">
      <c r="A2" t="s">
        <v>18</v>
      </c>
      <c r="B2" t="s">
        <v>40</v>
      </c>
      <c r="C2" s="4">
        <v>10</v>
      </c>
      <c r="D2" t="s">
        <v>41</v>
      </c>
      <c r="E2" s="2">
        <v>55</v>
      </c>
      <c r="F2" s="2">
        <f>IF(OR(ISBLANK(C2),ISBLANK(E2)),"",ROUND(C2*E2,2))</f>
        <v>550</v>
      </c>
      <c r="G2" s="5">
        <f>0.25</f>
        <v>0.25</v>
      </c>
      <c r="H2" s="2">
        <f>IF(ISNUMBER(F2),ROUND(F2*(1+G2),2),"")</f>
        <v>687.5</v>
      </c>
      <c r="I2" s="2">
        <f>IF(ISNUMBER(H2),H2-F2,"")</f>
        <v>137.5</v>
      </c>
    </row>
    <row r="3" spans="1:9" x14ac:dyDescent="0.25">
      <c r="A3" t="s">
        <v>18</v>
      </c>
      <c r="B3" t="s">
        <v>42</v>
      </c>
      <c r="C3" s="4">
        <v>6</v>
      </c>
      <c r="D3" t="s">
        <v>41</v>
      </c>
      <c r="E3" s="2">
        <v>85</v>
      </c>
      <c r="F3" s="2">
        <f>IF(OR(ISBLANK(C3),ISBLANK(E3)),"",ROUND(C3*E3,2))</f>
        <v>510</v>
      </c>
      <c r="G3" s="5">
        <f>0.25</f>
        <v>0.25</v>
      </c>
      <c r="H3" s="2">
        <f>IF(ISNUMBER(F3),ROUND(F3*(1+G3),2),"")</f>
        <v>637.5</v>
      </c>
      <c r="I3" s="2">
        <f>IF(ISNUMBER(H3),H3-F3,"")</f>
        <v>127.5</v>
      </c>
    </row>
    <row r="4" spans="1:9" x14ac:dyDescent="0.25">
      <c r="A4" t="s">
        <v>18</v>
      </c>
      <c r="B4" t="s">
        <v>43</v>
      </c>
      <c r="C4" s="4">
        <v>8</v>
      </c>
      <c r="D4" t="s">
        <v>41</v>
      </c>
      <c r="E4" s="2">
        <v>55</v>
      </c>
      <c r="F4" s="2">
        <f>IF(OR(ISBLANK(C4),ISBLANK(E4)),"",ROUND(C4*E4,2))</f>
        <v>440</v>
      </c>
      <c r="G4" s="5">
        <f>0.25</f>
        <v>0.25</v>
      </c>
      <c r="H4" s="2">
        <f>IF(ISNUMBER(F4),ROUND(F4*(1+G4),2),"")</f>
        <v>550</v>
      </c>
      <c r="I4" s="2">
        <f>IF(ISNUMBER(H4),H4-F4,"")</f>
        <v>110</v>
      </c>
    </row>
    <row r="5" spans="1:9" x14ac:dyDescent="0.25">
      <c r="A5" t="s">
        <v>18</v>
      </c>
      <c r="B5" t="s">
        <v>44</v>
      </c>
      <c r="C5" s="4">
        <v>22</v>
      </c>
      <c r="D5" t="s">
        <v>41</v>
      </c>
      <c r="E5" s="2">
        <v>60</v>
      </c>
      <c r="F5" s="2">
        <f>IF(OR(ISBLANK(C5),ISBLANK(E5)),"",ROUND(C5*E5,2))</f>
        <v>1320</v>
      </c>
      <c r="G5" s="5">
        <f>0.25</f>
        <v>0.25</v>
      </c>
      <c r="H5" s="2">
        <f>IF(ISNUMBER(F5),ROUND(F5*(1+G5),2),"")</f>
        <v>1650</v>
      </c>
      <c r="I5" s="2">
        <f>IF(ISNUMBER(H5),H5-F5,"")</f>
        <v>330</v>
      </c>
    </row>
    <row r="6" spans="1:9" x14ac:dyDescent="0.25">
      <c r="A6" t="s">
        <v>18</v>
      </c>
      <c r="B6" t="s">
        <v>45</v>
      </c>
      <c r="C6" s="4">
        <v>6</v>
      </c>
      <c r="D6" t="s">
        <v>41</v>
      </c>
      <c r="E6" s="2">
        <v>55</v>
      </c>
      <c r="F6" s="2">
        <f>IF(OR(ISBLANK(C6),ISBLANK(E6)),"",ROUND(C6*E6,2))</f>
        <v>330</v>
      </c>
      <c r="G6" s="5">
        <f>0.25</f>
        <v>0.25</v>
      </c>
      <c r="H6" s="2">
        <f>IF(ISNUMBER(F6),ROUND(F6*(1+G6),2),"")</f>
        <v>412.5</v>
      </c>
      <c r="I6" s="2">
        <f>IF(ISNUMBER(H6),H6-F6,"")</f>
        <v>82.5</v>
      </c>
    </row>
    <row r="7" spans="1:9" x14ac:dyDescent="0.25">
      <c r="A7" t="s">
        <v>18</v>
      </c>
      <c r="B7" t="s">
        <v>46</v>
      </c>
      <c r="C7" s="4">
        <v>5</v>
      </c>
      <c r="D7" t="s">
        <v>41</v>
      </c>
      <c r="E7" s="2">
        <v>45</v>
      </c>
      <c r="F7" s="2">
        <f>IF(OR(ISBLANK(C7),ISBLANK(E7)),"",ROUND(C7*E7,2))</f>
        <v>225</v>
      </c>
      <c r="G7" s="5">
        <f>0.25</f>
        <v>0.25</v>
      </c>
      <c r="H7" s="2">
        <f>IF(ISNUMBER(F7),ROUND(F7*(1+G7),2),"")</f>
        <v>281.25</v>
      </c>
      <c r="I7" s="2">
        <f>IF(ISNUMBER(H7),H7-F7,"")</f>
        <v>56.25</v>
      </c>
    </row>
    <row r="8" spans="1:9" x14ac:dyDescent="0.25">
      <c r="A8" t="s">
        <v>19</v>
      </c>
      <c r="B8" t="s">
        <v>47</v>
      </c>
      <c r="C8" s="4">
        <v>120</v>
      </c>
      <c r="D8" t="s">
        <v>48</v>
      </c>
      <c r="E8" s="2">
        <v>4.25</v>
      </c>
      <c r="F8" s="2">
        <f>IF(OR(ISBLANK(C8),ISBLANK(E8)),"",ROUND(C8*E8,2))</f>
        <v>510</v>
      </c>
      <c r="G8" s="5">
        <f>0.2</f>
        <v>0.2</v>
      </c>
      <c r="H8" s="2">
        <f>IF(ISNUMBER(F8),ROUND(F8*(1+G8),2),"")</f>
        <v>612</v>
      </c>
      <c r="I8" s="2">
        <f>IF(ISNUMBER(H8),H8-F8,"")</f>
        <v>102</v>
      </c>
    </row>
    <row r="9" spans="1:9" x14ac:dyDescent="0.25">
      <c r="A9" t="s">
        <v>19</v>
      </c>
      <c r="B9" t="s">
        <v>49</v>
      </c>
      <c r="C9" s="4">
        <v>1</v>
      </c>
      <c r="D9" t="s">
        <v>50</v>
      </c>
      <c r="E9" s="2">
        <v>310</v>
      </c>
      <c r="F9" s="2">
        <f>IF(OR(ISBLANK(C9),ISBLANK(E9)),"",ROUND(C9*E9,2))</f>
        <v>310</v>
      </c>
      <c r="G9" s="5">
        <f>0.2</f>
        <v>0.2</v>
      </c>
      <c r="H9" s="2">
        <f>IF(ISNUMBER(F9),ROUND(F9*(1+G9),2),"")</f>
        <v>372</v>
      </c>
      <c r="I9" s="2">
        <f>IF(ISNUMBER(H9),H9-F9,"")</f>
        <v>62</v>
      </c>
    </row>
    <row r="10" spans="1:9" x14ac:dyDescent="0.25">
      <c r="A10" t="s">
        <v>19</v>
      </c>
      <c r="B10" t="s">
        <v>51</v>
      </c>
      <c r="C10" s="4">
        <v>10</v>
      </c>
      <c r="D10" t="s">
        <v>52</v>
      </c>
      <c r="E10" s="2">
        <v>16.5</v>
      </c>
      <c r="F10" s="2">
        <f>IF(OR(ISBLANK(C10),ISBLANK(E10)),"",ROUND(C10*E10,2))</f>
        <v>165</v>
      </c>
      <c r="G10" s="5">
        <f>0.2</f>
        <v>0.2</v>
      </c>
      <c r="H10" s="2">
        <f>IF(ISNUMBER(F10),ROUND(F10*(1+G10),2),"")</f>
        <v>198</v>
      </c>
      <c r="I10" s="2">
        <f>IF(ISNUMBER(H10),H10-F10,"")</f>
        <v>33</v>
      </c>
    </row>
    <row r="11" spans="1:9" x14ac:dyDescent="0.25">
      <c r="A11" t="s">
        <v>19</v>
      </c>
      <c r="B11" t="s">
        <v>53</v>
      </c>
      <c r="C11" s="4">
        <v>1</v>
      </c>
      <c r="D11" t="s">
        <v>54</v>
      </c>
      <c r="E11" s="2">
        <v>285</v>
      </c>
      <c r="F11" s="2">
        <f>IF(OR(ISBLANK(C11),ISBLANK(E11)),"",ROUND(C11*E11,2))</f>
        <v>285</v>
      </c>
      <c r="G11" s="5">
        <f>0.2</f>
        <v>0.2</v>
      </c>
      <c r="H11" s="2">
        <f>IF(ISNUMBER(F11),ROUND(F11*(1+G11),2),"")</f>
        <v>342</v>
      </c>
      <c r="I11" s="2">
        <f>IF(ISNUMBER(H11),H11-F11,"")</f>
        <v>57</v>
      </c>
    </row>
    <row r="12" spans="1:9" x14ac:dyDescent="0.25">
      <c r="A12" t="s">
        <v>19</v>
      </c>
      <c r="B12" t="s">
        <v>55</v>
      </c>
      <c r="C12" s="4">
        <v>1</v>
      </c>
      <c r="D12" t="s">
        <v>54</v>
      </c>
      <c r="E12" s="2">
        <v>640</v>
      </c>
      <c r="F12" s="2">
        <f>IF(OR(ISBLANK(C12),ISBLANK(E12)),"",ROUND(C12*E12,2))</f>
        <v>640</v>
      </c>
      <c r="G12" s="5">
        <f>0.2</f>
        <v>0.2</v>
      </c>
      <c r="H12" s="2">
        <f>IF(ISNUMBER(F12),ROUND(F12*(1+G12),2),"")</f>
        <v>768</v>
      </c>
      <c r="I12" s="2">
        <f>IF(ISNUMBER(H12),H12-F12,"")</f>
        <v>128</v>
      </c>
    </row>
    <row r="13" spans="1:9" x14ac:dyDescent="0.25">
      <c r="A13" t="s">
        <v>19</v>
      </c>
      <c r="B13" t="s">
        <v>56</v>
      </c>
      <c r="C13" s="4">
        <v>1</v>
      </c>
      <c r="D13" t="s">
        <v>54</v>
      </c>
      <c r="E13" s="2">
        <v>260</v>
      </c>
      <c r="F13" s="2">
        <f>IF(OR(ISBLANK(C13),ISBLANK(E13)),"",ROUND(C13*E13,2))</f>
        <v>260</v>
      </c>
      <c r="G13" s="5">
        <f>0.2</f>
        <v>0.2</v>
      </c>
      <c r="H13" s="2">
        <f>IF(ISNUMBER(F13),ROUND(F13*(1+G13),2),"")</f>
        <v>312</v>
      </c>
      <c r="I13" s="2">
        <f>IF(ISNUMBER(H13),H13-F13,"")</f>
        <v>52</v>
      </c>
    </row>
    <row r="14" spans="1:9" x14ac:dyDescent="0.25">
      <c r="A14" t="s">
        <v>19</v>
      </c>
      <c r="B14" t="s">
        <v>57</v>
      </c>
      <c r="C14" s="4">
        <v>1</v>
      </c>
      <c r="D14" t="s">
        <v>50</v>
      </c>
      <c r="E14" s="2">
        <v>95</v>
      </c>
      <c r="F14" s="2">
        <f>IF(OR(ISBLANK(C14),ISBLANK(E14)),"",ROUND(C14*E14,2))</f>
        <v>95</v>
      </c>
      <c r="G14" s="5">
        <f>0.2</f>
        <v>0.2</v>
      </c>
      <c r="H14" s="2">
        <f>IF(ISNUMBER(F14),ROUND(F14*(1+G14),2),"")</f>
        <v>114</v>
      </c>
      <c r="I14" s="2">
        <f>IF(ISNUMBER(H14),H14-F14,"")</f>
        <v>19</v>
      </c>
    </row>
    <row r="15" spans="1:9" x14ac:dyDescent="0.25">
      <c r="A15" t="s">
        <v>20</v>
      </c>
      <c r="B15" t="s">
        <v>58</v>
      </c>
      <c r="C15" s="4">
        <v>1</v>
      </c>
      <c r="D15" t="s">
        <v>54</v>
      </c>
      <c r="E15" s="2">
        <v>425</v>
      </c>
      <c r="F15" s="2">
        <f>IF(OR(ISBLANK(C15),ISBLANK(E15)),"",ROUND(C15*E15,2))</f>
        <v>425</v>
      </c>
      <c r="G15" s="5">
        <f>0.15</f>
        <v>0.15</v>
      </c>
      <c r="H15" s="2">
        <f>IF(ISNUMBER(F15),ROUND(F15*(1+G15),2),"")</f>
        <v>488.75</v>
      </c>
      <c r="I15" s="2">
        <f>IF(ISNUMBER(H15),H15-F15,"")</f>
        <v>63.75</v>
      </c>
    </row>
    <row r="16" spans="1:9" x14ac:dyDescent="0.25">
      <c r="A16" t="s">
        <v>20</v>
      </c>
      <c r="B16" t="s">
        <v>59</v>
      </c>
      <c r="C16" s="4">
        <v>3</v>
      </c>
      <c r="D16" t="s">
        <v>60</v>
      </c>
      <c r="E16" s="2">
        <v>65</v>
      </c>
      <c r="F16" s="2">
        <f>IF(OR(ISBLANK(C16),ISBLANK(E16)),"",ROUND(C16*E16,2))</f>
        <v>195</v>
      </c>
      <c r="G16" s="5">
        <f>0.15</f>
        <v>0.15</v>
      </c>
      <c r="H16" s="2">
        <f>IF(ISNUMBER(F16),ROUND(F16*(1+G16),2),"")</f>
        <v>224.25</v>
      </c>
      <c r="I16" s="2">
        <f>IF(ISNUMBER(H16),H16-F16,"")</f>
        <v>29.25</v>
      </c>
    </row>
    <row r="17" spans="1:9" x14ac:dyDescent="0.25">
      <c r="A17" t="s">
        <v>21</v>
      </c>
      <c r="B17" t="s">
        <v>61</v>
      </c>
      <c r="C17" s="4">
        <v>1</v>
      </c>
      <c r="D17" t="s">
        <v>62</v>
      </c>
      <c r="E17" s="2">
        <v>480</v>
      </c>
      <c r="F17" s="2">
        <f>IF(OR(ISBLANK(C17),ISBLANK(E17)),"",ROUND(C17*E17,2))</f>
        <v>480</v>
      </c>
      <c r="G17" s="5">
        <f>0.1</f>
        <v>0.1</v>
      </c>
      <c r="H17" s="2">
        <f>IF(ISNUMBER(F17),ROUND(F17*(1+G17),2),"")</f>
        <v>528</v>
      </c>
      <c r="I17" s="2">
        <f>IF(ISNUMBER(H17),H17-F17,"")</f>
        <v>48</v>
      </c>
    </row>
    <row r="18" spans="1:9" x14ac:dyDescent="0.25">
      <c r="C18" s="4"/>
      <c r="E18" s="2"/>
      <c r="F18" s="2" t="str">
        <f>IF(OR(ISBLANK(C18),ISBLANK(E18)),"",ROUND(C18*E18,2))</f>
        <v/>
      </c>
      <c r="G18" s="5"/>
      <c r="H18" s="2" t="str">
        <f>IF(ISNUMBER(F18),ROUND(F18*(1+G18),2),"")</f>
        <v/>
      </c>
      <c r="I18" s="2" t="str">
        <f>IF(ISNUMBER(H18),H18-F18,"")</f>
        <v/>
      </c>
    </row>
    <row r="19" spans="1:9" x14ac:dyDescent="0.25">
      <c r="C19" s="4"/>
      <c r="E19" s="2"/>
      <c r="F19" s="2" t="str">
        <f>IF(OR(ISBLANK(C19),ISBLANK(E19)),"",ROUND(C19*E19,2))</f>
        <v/>
      </c>
      <c r="G19" s="5"/>
      <c r="H19" s="2" t="str">
        <f>IF(ISNUMBER(F19),ROUND(F19*(1+G19),2),"")</f>
        <v/>
      </c>
      <c r="I19" s="2" t="str">
        <f>IF(ISNUMBER(H19),H19-F19,"")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6" customWidth="1"/>
  </cols>
  <sheetData>
    <row r="1" spans="1:2" s="1" customFormat="1" x14ac:dyDescent="0.25">
      <c r="A1" s="1" t="s">
        <v>33</v>
      </c>
      <c r="B1" s="1" t="s">
        <v>63</v>
      </c>
    </row>
    <row r="2" spans="1:2" x14ac:dyDescent="0.25">
      <c r="A2" t="s">
        <v>37</v>
      </c>
      <c r="B2" s="2">
        <f>SUM(Estimate!F2:F100)</f>
        <v>6740</v>
      </c>
    </row>
    <row r="3" spans="1:2" x14ac:dyDescent="0.25">
      <c r="A3" t="s">
        <v>64</v>
      </c>
      <c r="B3" s="2">
        <f>SUM(Estimate!H2:H100)</f>
        <v>8177.75</v>
      </c>
    </row>
    <row r="4" spans="1:2" x14ac:dyDescent="0.25">
      <c r="A4" t="s">
        <v>39</v>
      </c>
      <c r="B4" s="2">
        <f>B3-B2</f>
        <v>1437.75</v>
      </c>
    </row>
    <row r="5" spans="1:2" x14ac:dyDescent="0.25">
      <c r="A5" t="s">
        <v>65</v>
      </c>
      <c r="B5" s="5">
        <f>IF(B3=0,0,B4/B3)</f>
        <v>0.17581241784109322</v>
      </c>
    </row>
    <row r="6" spans="1:2" x14ac:dyDescent="0.25">
      <c r="A6" t="s">
        <v>66</v>
      </c>
      <c r="B6" s="5">
        <f>IF(B2=0,0,B4/B2)</f>
        <v>0.2133160237388724</v>
      </c>
    </row>
    <row r="7" spans="1:2" x14ac:dyDescent="0.25">
      <c r="A7" t="s">
        <v>67</v>
      </c>
      <c r="B7" s="4">
        <f>SUMIFS(Estimate!C2:C100,Estimate!A2:A100,"Labor",Estimate!D2:D100,"hours")</f>
        <v>57</v>
      </c>
    </row>
    <row r="8" spans="1:2" x14ac:dyDescent="0.25">
      <c r="A8" t="s">
        <v>68</v>
      </c>
      <c r="B8" s="2">
        <f>SUMIF(Estimate!A2:A100,"Labor",Estimate!F2:F100)</f>
        <v>3375</v>
      </c>
    </row>
    <row r="9" spans="1:2" x14ac:dyDescent="0.25">
      <c r="A9" t="s">
        <v>69</v>
      </c>
      <c r="B9" s="2">
        <f>SUMIF(Estimate!A2:A100,"Materials",Estimate!F2:F100)</f>
        <v>2265</v>
      </c>
    </row>
    <row r="10" spans="1:2" x14ac:dyDescent="0.25">
      <c r="A10" t="s">
        <v>70</v>
      </c>
      <c r="B10" s="2">
        <f>SUMIF(Estimate!A2:A100,"Equipment and disposal",Estimate!F2:F100)</f>
        <v>620</v>
      </c>
    </row>
    <row r="11" spans="1:2" x14ac:dyDescent="0.25">
      <c r="A11" t="s">
        <v>71</v>
      </c>
      <c r="B11" s="2">
        <f>SUMIF(Estimate!A2:A100,"Subcontractors",Estimate!F2:F100)</f>
        <v>480</v>
      </c>
    </row>
    <row r="12" spans="1:2" x14ac:dyDescent="0.25">
      <c r="A12" t="s">
        <v>72</v>
      </c>
      <c r="B12" s="4">
        <f>COUNTIFS(Estimate!A2:A100,"",Estimate!F2:F100,"&gt;0")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Quote</vt:lpstr>
      <vt:lpstr>Estimate</vt:lpstr>
      <vt:lpstr>Job Profit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Job Quote</dc:title>
  <dc:subject/>
  <dc:description/>
  <cp:keywords/>
  <cp:category/>
  <cp:lastModifiedBy>Unknown</cp:lastModifiedBy>
  <dcterms:created xsi:type="dcterms:W3CDTF">2026-10-18T23:17:38Z</dcterms:created>
  <dcterms:modified xsi:type="dcterms:W3CDTF">2026-10-18T23:17:38Z</dcterms:modified>
</cp:coreProperties>
</file>