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Projection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<sst xmlns="http://schemas.openxmlformats.org/spreadsheetml/2006/main" count="41" uniqueCount="36">
  <si>
    <t>Plan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</si>
  <si>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</si>
  <si>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Your savings year by year, to retirement and beyond.</t>
  </si>
  <si>
    <t>Free template</t>
  </si>
  <si>
    <t>Current age</t>
  </si>
  <si>
    <t>Retirement age</t>
  </si>
  <si>
    <t>Savings now</t>
  </si>
  <si>
    <t>Monthly contribution</t>
  </si>
  <si>
    <t>Yearly growth (your guess)</t>
  </si>
  <si>
    <t>Yearly raise in contributions</t>
  </si>
  <si>
    <t>Withdrawal rate in retirement</t>
  </si>
  <si>
    <t>First year</t>
  </si>
  <si>
    <t>Projection</t>
  </si>
  <si>
    <t>Worked out from your other tabs. Shaded cells are formulas: nothing to type here.</t>
  </si>
  <si>
    <t>Year</t>
  </si>
  <si>
    <t>Age</t>
  </si>
  <si>
    <t>Phase</t>
  </si>
  <si>
    <t>Start balance</t>
  </si>
  <si>
    <t>Contributions</t>
  </si>
  <si>
    <t>Withdrawals</t>
  </si>
  <si>
    <t>Growth</t>
  </si>
  <si>
    <t>End balance</t>
  </si>
  <si>
    <t>Balance at retirement</t>
  </si>
  <si>
    <t>Summary</t>
  </si>
  <si>
    <t>Result</t>
  </si>
  <si>
    <t>Value</t>
  </si>
  <si>
    <t>Years until you retire</t>
  </si>
  <si>
    <t>First year of retirement</t>
  </si>
  <si>
    <t>Balance when you retire</t>
  </si>
  <si>
    <t>Total you put in (savings now plus contributions)</t>
  </si>
  <si>
    <t>Growth on top (at your assumed rate)</t>
  </si>
  <si>
    <t>Growth as a share of the balance</t>
  </si>
  <si>
    <t>Rough yearly income from savings</t>
  </si>
  <si>
    <t>Rough monthly income from savings</t>
  </si>
  <si>
    <t>Savings run out at about age</t>
  </si>
  <si>
    <t>Balance left at age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</si>
</sst>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5" borderId="2" xfId="0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5" fontId="5" fillId="5" borderId="2" xfId="0" applyNumberFormat="1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indent="1"/>
    </xf>
    <xf numFmtId="166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I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3" width="12" customWidth="1"/>
    <col min="4" max="6" width="14" customWidth="1"/>
    <col min="7" max="8" width="15" customWidth="1"/>
    <col min="9" max="9" width="10" customWidth="1"/>
  </cols>
  <sheetData>
    <row r="1" ht="34" customHeight="1" spans="2:9" x14ac:dyDescent="0.25">
      <c r="B1" s="1" t="s">
        <v>0</v>
      </c>
      <c r="G1" s="2" t="s">
        <v>1</v>
      </c>
      <c r="H1" s="2"/>
      <c r="I1" s="2"/>
    </row>
    <row r="2" ht="28" customHeight="1" spans="2:9" x14ac:dyDescent="0.25">
      <c r="B2" s="3" t="s">
        <v>2</v>
      </c>
      <c r="C2" s="3"/>
      <c r="D2" s="3"/>
      <c r="E2" s="3"/>
      <c r="F2" s="3"/>
      <c r="G2" s="4" t="s">
        <v>3</v>
      </c>
      <c r="H2" s="4"/>
      <c r="I2" s="4"/>
    </row>
    <row r="3" ht="4" customHeight="1" spans="2:9" x14ac:dyDescent="0.25">
      <c r="B3" s="5"/>
      <c r="C3" s="5"/>
      <c r="D3" s="5"/>
      <c r="E3" s="5"/>
      <c r="F3" s="5"/>
      <c r="G3" s="5"/>
      <c r="H3" s="5"/>
      <c r="I3" s="5"/>
    </row>
    <row r="4" ht="10" customHeight="1" x14ac:dyDescent="0.25"/>
    <row r="5" ht="30" customHeight="1" spans="2:9" x14ac:dyDescent="0.25">
      <c r="B5" s="6" t="s">
        <v>4</v>
      </c>
      <c r="C5" s="7" t="s">
        <v>5</v>
      </c>
      <c r="D5" s="8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6" t="s">
        <v>11</v>
      </c>
    </row>
    <row r="6" ht="17" customHeight="1" spans="2:9" x14ac:dyDescent="0.25">
      <c r="B6" s="9">
        <v>38</v>
      </c>
      <c r="C6" s="10">
        <v>65</v>
      </c>
      <c r="D6" s="11">
        <v>62000</v>
      </c>
      <c r="E6" s="11">
        <v>750</v>
      </c>
      <c r="F6" s="12">
        <v>0.06</v>
      </c>
      <c r="G6" s="12">
        <v>0.02</v>
      </c>
      <c r="H6" s="12">
        <v>0.04</v>
      </c>
      <c r="I6" s="13">
        <v>2026</v>
      </c>
    </row>
    <row r="7" ht="17" customHeight="1" spans="2:9" x14ac:dyDescent="0.25">
      <c r="B7" s="9"/>
      <c r="C7" s="10"/>
      <c r="D7" s="11"/>
      <c r="E7" s="11"/>
      <c r="F7" s="12"/>
      <c r="G7" s="12"/>
      <c r="H7" s="12"/>
      <c r="I7" s="13"/>
    </row>
    <row r="8" ht="17" customHeight="1" spans="2:9" x14ac:dyDescent="0.25">
      <c r="B8" s="9"/>
      <c r="C8" s="10"/>
      <c r="D8" s="11"/>
      <c r="E8" s="11"/>
      <c r="F8" s="12"/>
      <c r="G8" s="12"/>
      <c r="H8" s="12"/>
      <c r="I8" s="13"/>
    </row>
    <row r="9" ht="17" customHeight="1" spans="2:9" x14ac:dyDescent="0.25">
      <c r="B9" s="9"/>
      <c r="C9" s="10"/>
      <c r="D9" s="11"/>
      <c r="E9" s="11"/>
      <c r="F9" s="12"/>
      <c r="G9" s="12"/>
      <c r="H9" s="12"/>
      <c r="I9" s="13"/>
    </row>
    <row r="10" ht="17" customHeight="1" spans="2:9" x14ac:dyDescent="0.25">
      <c r="B10" s="9"/>
      <c r="C10" s="10"/>
      <c r="D10" s="11"/>
      <c r="E10" s="11"/>
      <c r="F10" s="12"/>
      <c r="G10" s="12"/>
      <c r="H10" s="12"/>
      <c r="I10" s="13"/>
    </row>
    <row r="11" ht="17" customHeight="1" spans="2:9" x14ac:dyDescent="0.25">
      <c r="B11" s="9"/>
      <c r="C11" s="10"/>
      <c r="D11" s="11"/>
      <c r="E11" s="11"/>
      <c r="F11" s="12"/>
      <c r="G11" s="12"/>
      <c r="H11" s="12"/>
      <c r="I11" s="13"/>
    </row>
    <row r="12" ht="17" customHeight="1" spans="2:9" x14ac:dyDescent="0.25">
      <c r="B12" s="9"/>
      <c r="C12" s="10"/>
      <c r="D12" s="11"/>
      <c r="E12" s="11"/>
      <c r="F12" s="12"/>
      <c r="G12" s="12"/>
      <c r="H12" s="12"/>
      <c r="I12" s="13"/>
    </row>
    <row r="13" ht="17" customHeight="1" spans="2:9" x14ac:dyDescent="0.25">
      <c r="B13" s="9"/>
      <c r="C13" s="10"/>
      <c r="D13" s="11"/>
      <c r="E13" s="11"/>
      <c r="F13" s="12"/>
      <c r="G13" s="12"/>
      <c r="H13" s="12"/>
      <c r="I13" s="13"/>
    </row>
    <row r="14" ht="17" customHeight="1" spans="2:9" x14ac:dyDescent="0.25">
      <c r="B14" s="9"/>
      <c r="C14" s="10"/>
      <c r="D14" s="11"/>
      <c r="E14" s="11"/>
      <c r="F14" s="12"/>
      <c r="G14" s="12"/>
      <c r="H14" s="12"/>
      <c r="I14" s="13"/>
    </row>
    <row r="15" ht="17" customHeight="1" spans="2:9" x14ac:dyDescent="0.25">
      <c r="B15" s="9"/>
      <c r="C15" s="10"/>
      <c r="D15" s="11"/>
      <c r="E15" s="11"/>
      <c r="F15" s="12"/>
      <c r="G15" s="12"/>
      <c r="H15" s="12"/>
      <c r="I15" s="13"/>
    </row>
    <row r="16" ht="17" customHeight="1" spans="2:9" x14ac:dyDescent="0.25">
      <c r="B16" s="9"/>
      <c r="C16" s="10"/>
      <c r="D16" s="11"/>
      <c r="E16" s="11"/>
      <c r="F16" s="12"/>
      <c r="G16" s="12"/>
      <c r="H16" s="12"/>
      <c r="I16" s="13"/>
    </row>
    <row r="17" ht="17" customHeight="1" spans="2:9" x14ac:dyDescent="0.25">
      <c r="B17" s="9"/>
      <c r="C17" s="10"/>
      <c r="D17" s="11"/>
      <c r="E17" s="11"/>
      <c r="F17" s="12"/>
      <c r="G17" s="12"/>
      <c r="H17" s="12"/>
      <c r="I17" s="13"/>
    </row>
    <row r="18" ht="17" customHeight="1" spans="2:9" x14ac:dyDescent="0.25">
      <c r="B18" s="9"/>
      <c r="C18" s="10"/>
      <c r="D18" s="11"/>
      <c r="E18" s="11"/>
      <c r="F18" s="12"/>
      <c r="G18" s="12"/>
      <c r="H18" s="12"/>
      <c r="I18" s="13"/>
    </row>
    <row r="19" ht="17" customHeight="1" spans="2:9" x14ac:dyDescent="0.25">
      <c r="B19" s="9"/>
      <c r="C19" s="10"/>
      <c r="D19" s="11"/>
      <c r="E19" s="11"/>
      <c r="F19" s="12"/>
      <c r="G19" s="12"/>
      <c r="H19" s="12"/>
      <c r="I19" s="13"/>
    </row>
    <row r="20" ht="17" customHeight="1" spans="2:9" x14ac:dyDescent="0.25">
      <c r="B20" s="9"/>
      <c r="C20" s="10"/>
      <c r="D20" s="11"/>
      <c r="E20" s="11"/>
      <c r="F20" s="12"/>
      <c r="G20" s="12"/>
      <c r="H20" s="12"/>
      <c r="I20" s="13"/>
    </row>
    <row r="21" ht="17" customHeight="1" spans="2:9" x14ac:dyDescent="0.25">
      <c r="B21" s="9"/>
      <c r="C21" s="10"/>
      <c r="D21" s="11"/>
      <c r="E21" s="11"/>
      <c r="F21" s="12"/>
      <c r="G21" s="12"/>
      <c r="H21" s="12"/>
      <c r="I21" s="13"/>
    </row>
    <row r="22" ht="17" customHeight="1" spans="2:9" x14ac:dyDescent="0.25">
      <c r="B22" s="9"/>
      <c r="C22" s="10"/>
      <c r="D22" s="11"/>
      <c r="E22" s="11"/>
      <c r="F22" s="12"/>
      <c r="G22" s="12"/>
      <c r="H22" s="12"/>
      <c r="I22" s="13"/>
    </row>
    <row r="23" ht="17" customHeight="1" spans="2:9" x14ac:dyDescent="0.25">
      <c r="B23" s="9"/>
      <c r="C23" s="10"/>
      <c r="D23" s="11"/>
      <c r="E23" s="11"/>
      <c r="F23" s="12"/>
      <c r="G23" s="12"/>
      <c r="H23" s="12"/>
      <c r="I23" s="13"/>
    </row>
    <row r="24" ht="17" customHeight="1" spans="2:9" x14ac:dyDescent="0.25">
      <c r="B24" s="9"/>
      <c r="C24" s="10"/>
      <c r="D24" s="11"/>
      <c r="E24" s="11"/>
      <c r="F24" s="12"/>
      <c r="G24" s="12"/>
      <c r="H24" s="12"/>
      <c r="I24" s="13"/>
    </row>
    <row r="25" ht="17" customHeight="1" spans="2:9" x14ac:dyDescent="0.25">
      <c r="B25" s="9"/>
      <c r="C25" s="10"/>
      <c r="D25" s="11"/>
      <c r="E25" s="11"/>
      <c r="F25" s="12"/>
      <c r="G25" s="12"/>
      <c r="H25" s="12"/>
      <c r="I25" s="13"/>
    </row>
    <row r="26" ht="17" customHeight="1" spans="2:9" x14ac:dyDescent="0.25">
      <c r="B26" s="9"/>
      <c r="C26" s="10"/>
      <c r="D26" s="11"/>
      <c r="E26" s="11"/>
      <c r="F26" s="12"/>
      <c r="G26" s="12"/>
      <c r="H26" s="12"/>
      <c r="I26" s="13"/>
    </row>
    <row r="27" ht="17" customHeight="1" spans="2:9" x14ac:dyDescent="0.25">
      <c r="B27" s="9"/>
      <c r="C27" s="10"/>
      <c r="D27" s="11"/>
      <c r="E27" s="11"/>
      <c r="F27" s="12"/>
      <c r="G27" s="12"/>
      <c r="H27" s="12"/>
      <c r="I27" s="13"/>
    </row>
    <row r="28" ht="17" customHeight="1" spans="2:9" x14ac:dyDescent="0.25">
      <c r="B28" s="9"/>
      <c r="C28" s="10"/>
      <c r="D28" s="11"/>
      <c r="E28" s="11"/>
      <c r="F28" s="12"/>
      <c r="G28" s="12"/>
      <c r="H28" s="12"/>
      <c r="I28" s="13"/>
    </row>
    <row r="29" ht="17" customHeight="1" spans="2:9" x14ac:dyDescent="0.25">
      <c r="B29" s="9"/>
      <c r="C29" s="10"/>
      <c r="D29" s="11"/>
      <c r="E29" s="11"/>
      <c r="F29" s="12"/>
      <c r="G29" s="12"/>
      <c r="H29" s="12"/>
      <c r="I29" s="13"/>
    </row>
    <row r="30" ht="17" customHeight="1" spans="2:9" x14ac:dyDescent="0.25">
      <c r="B30" s="9"/>
      <c r="C30" s="10"/>
      <c r="D30" s="11"/>
      <c r="E30" s="11"/>
      <c r="F30" s="12"/>
      <c r="G30" s="12"/>
      <c r="H30" s="12"/>
      <c r="I30" s="13"/>
    </row>
  </sheetData>
  <mergeCells count="3">
    <mergeCell ref="G1:I1"/>
    <mergeCell ref="B2:F2"/>
    <mergeCell ref="G2:I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J71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8" customWidth="1"/>
    <col min="3" max="3" width="7" customWidth="1"/>
    <col min="4" max="4" width="10" customWidth="1"/>
    <col min="5" max="5" width="15" customWidth="1"/>
    <col min="6" max="7" width="14" customWidth="1"/>
    <col min="8" max="8" width="13" customWidth="1"/>
    <col min="9" max="9" width="15" customWidth="1"/>
    <col min="10" max="10" width="10" hidden="1" customWidth="1"/>
  </cols>
  <sheetData>
    <row r="1" ht="34" customHeight="1" spans="2:10" x14ac:dyDescent="0.25">
      <c r="B1" s="1" t="s">
        <v>12</v>
      </c>
      <c r="H1" s="2" t="s">
        <v>1</v>
      </c>
      <c r="I1" s="2"/>
      <c r="J1" s="2"/>
    </row>
    <row r="2" ht="28" customHeight="1" spans="2:10" x14ac:dyDescent="0.25">
      <c r="B2" s="3" t="s">
        <v>13</v>
      </c>
      <c r="C2" s="3"/>
      <c r="D2" s="3"/>
      <c r="E2" s="3"/>
      <c r="F2" s="3"/>
      <c r="G2" s="3"/>
      <c r="H2" s="4" t="s">
        <v>3</v>
      </c>
      <c r="I2" s="4"/>
      <c r="J2" s="4"/>
    </row>
    <row r="3" ht="4" customHeight="1" spans="2:10" x14ac:dyDescent="0.25">
      <c r="B3" s="5"/>
      <c r="C3" s="5"/>
      <c r="D3" s="5"/>
      <c r="E3" s="5"/>
      <c r="F3" s="5"/>
      <c r="G3" s="5"/>
      <c r="H3" s="5"/>
      <c r="I3" s="5"/>
      <c r="J3" s="5"/>
    </row>
    <row r="4" ht="10" customHeight="1" x14ac:dyDescent="0.25"/>
    <row r="5" ht="30" customHeight="1" spans="2:10" x14ac:dyDescent="0.25">
      <c r="B5" s="14" t="s">
        <v>14</v>
      </c>
      <c r="C5" s="8" t="s">
        <v>15</v>
      </c>
      <c r="D5" s="14" t="s">
        <v>16</v>
      </c>
      <c r="E5" s="8" t="s">
        <v>17</v>
      </c>
      <c r="F5" s="7" t="s">
        <v>18</v>
      </c>
      <c r="G5" s="8" t="s">
        <v>19</v>
      </c>
      <c r="H5" s="8" t="s">
        <v>20</v>
      </c>
      <c r="I5" s="8" t="s">
        <v>21</v>
      </c>
      <c r="J5" s="7" t="s">
        <v>22</v>
      </c>
    </row>
    <row r="6" ht="17" customHeight="1" spans="2:10" x14ac:dyDescent="0.25">
      <c r="B6" s="15">
        <f>Plan!$I$6</f>
        <v>2026</v>
      </c>
      <c r="C6" s="16">
        <f>Plan!$B$6</f>
        <v>38</v>
      </c>
      <c r="D6" s="17" t="str">
        <f>IF(C6&lt;Plan!$C$6,"Saving","Retired")</f>
        <v>Saving</v>
      </c>
      <c r="E6" s="18">
        <f>Plan!$D$6</f>
        <v>62000</v>
      </c>
      <c r="F6" s="18">
        <f>IF(C6&lt;Plan!$C$6,ROUND(Plan!$E$6*12*(1+Plan!$G$6)^(C6-Plan!$B$6),2),0)</f>
        <v>9000</v>
      </c>
      <c r="G6" s="18">
        <f>IF(C6&gt;=Plan!$C$6,ROUND(MIN(E6,SUM(J$6:J6)*Plan!$H$6),2),0)</f>
        <v>0</v>
      </c>
      <c r="H6" s="18">
        <f>ROUND(MAX(0,E6+(F6-G6)/2)*Plan!$F$6,2)</f>
        <v>3990</v>
      </c>
      <c r="I6" s="18">
        <f>ROUND(MAX(0,E6+F6-G6+H6),2)</f>
        <v>74990</v>
      </c>
      <c r="J6" s="18">
        <f>IF(C6=Plan!$C$6,E6,0)</f>
        <v>0</v>
      </c>
    </row>
    <row r="7" ht="17" customHeight="1" spans="2:10" x14ac:dyDescent="0.25">
      <c r="B7" s="15">
        <f>B6+1</f>
        <v>2027</v>
      </c>
      <c r="C7" s="16">
        <f>C6+1</f>
        <v>39</v>
      </c>
      <c r="D7" s="17" t="str">
        <f>IF(C7&lt;Plan!$C$6,"Saving","Retired")</f>
        <v>Saving</v>
      </c>
      <c r="E7" s="18">
        <f>I6</f>
        <v>74990</v>
      </c>
      <c r="F7" s="18">
        <f>IF(C7&lt;Plan!$C$6,ROUND(Plan!$E$6*12*(1+Plan!$G$6)^(C7-Plan!$B$6),2),0)</f>
        <v>9180</v>
      </c>
      <c r="G7" s="18">
        <f>IF(C7&gt;=Plan!$C$6,ROUND(MIN(E7,SUM(J$6:J7)*Plan!$H$6),2),0)</f>
        <v>0</v>
      </c>
      <c r="H7" s="18">
        <f>ROUND(MAX(0,E7+(F7-G7)/2)*Plan!$F$6,2)</f>
        <v>4774.8</v>
      </c>
      <c r="I7" s="18">
        <f>ROUND(MAX(0,E7+F7-G7+H7),2)</f>
        <v>88944.8</v>
      </c>
      <c r="J7" s="18">
        <f>IF(C7=Plan!$C$6,E7,0)</f>
        <v>0</v>
      </c>
    </row>
    <row r="8" ht="17" customHeight="1" spans="2:10" x14ac:dyDescent="0.25">
      <c r="B8" s="15">
        <f>B7+1</f>
        <v>2028</v>
      </c>
      <c r="C8" s="16">
        <f>C7+1</f>
        <v>40</v>
      </c>
      <c r="D8" s="17" t="str">
        <f>IF(C8&lt;Plan!$C$6,"Saving","Retired")</f>
        <v>Saving</v>
      </c>
      <c r="E8" s="18">
        <f>I7</f>
        <v>88944.8</v>
      </c>
      <c r="F8" s="18">
        <f>IF(C8&lt;Plan!$C$6,ROUND(Plan!$E$6*12*(1+Plan!$G$6)^(C8-Plan!$B$6),2),0)</f>
        <v>9363.6</v>
      </c>
      <c r="G8" s="18">
        <f>IF(C8&gt;=Plan!$C$6,ROUND(MIN(E8,SUM(J$6:J8)*Plan!$H$6),2),0)</f>
        <v>0</v>
      </c>
      <c r="H8" s="18">
        <f>ROUND(MAX(0,E8+(F8-G8)/2)*Plan!$F$6,2)</f>
        <v>5617.6</v>
      </c>
      <c r="I8" s="18">
        <f>ROUND(MAX(0,E8+F8-G8+H8),2)</f>
        <v>103926</v>
      </c>
      <c r="J8" s="18">
        <f>IF(C8=Plan!$C$6,E8,0)</f>
        <v>0</v>
      </c>
    </row>
    <row r="9" ht="17" customHeight="1" spans="2:10" x14ac:dyDescent="0.25">
      <c r="B9" s="15">
        <f>B8+1</f>
        <v>2029</v>
      </c>
      <c r="C9" s="16">
        <f>C8+1</f>
        <v>41</v>
      </c>
      <c r="D9" s="17" t="str">
        <f>IF(C9&lt;Plan!$C$6,"Saving","Retired")</f>
        <v>Saving</v>
      </c>
      <c r="E9" s="18">
        <f>I8</f>
        <v>103926</v>
      </c>
      <c r="F9" s="18">
        <f>IF(C9&lt;Plan!$C$6,ROUND(Plan!$E$6*12*(1+Plan!$G$6)^(C9-Plan!$B$6),2),0)</f>
        <v>9550.87</v>
      </c>
      <c r="G9" s="18">
        <f>IF(C9&gt;=Plan!$C$6,ROUND(MIN(E9,SUM(J$6:J9)*Plan!$H$6),2),0)</f>
        <v>0</v>
      </c>
      <c r="H9" s="18">
        <f>ROUND(MAX(0,E9+(F9-G9)/2)*Plan!$F$6,2)</f>
        <v>6522.09</v>
      </c>
      <c r="I9" s="18">
        <f>ROUND(MAX(0,E9+F9-G9+H9),2)</f>
        <v>119998.96</v>
      </c>
      <c r="J9" s="18">
        <f>IF(C9=Plan!$C$6,E9,0)</f>
        <v>0</v>
      </c>
    </row>
    <row r="10" ht="17" customHeight="1" spans="2:10" x14ac:dyDescent="0.25">
      <c r="B10" s="15">
        <f>B9+1</f>
        <v>2030</v>
      </c>
      <c r="C10" s="16">
        <f>C9+1</f>
        <v>42</v>
      </c>
      <c r="D10" s="17" t="str">
        <f>IF(C10&lt;Plan!$C$6,"Saving","Retired")</f>
        <v>Saving</v>
      </c>
      <c r="E10" s="18">
        <f>I9</f>
        <v>119998.96</v>
      </c>
      <c r="F10" s="18">
        <f>IF(C10&lt;Plan!$C$6,ROUND(Plan!$E$6*12*(1+Plan!$G$6)^(C10-Plan!$B$6),2),0)</f>
        <v>9741.89</v>
      </c>
      <c r="G10" s="18">
        <f>IF(C10&gt;=Plan!$C$6,ROUND(MIN(E10,SUM(J$6:J10)*Plan!$H$6),2),0)</f>
        <v>0</v>
      </c>
      <c r="H10" s="18">
        <f>ROUND(MAX(0,E10+(F10-G10)/2)*Plan!$F$6,2)</f>
        <v>7492.19</v>
      </c>
      <c r="I10" s="18">
        <f>ROUND(MAX(0,E10+F10-G10+H10),2)</f>
        <v>137233.04</v>
      </c>
      <c r="J10" s="18">
        <f>IF(C10=Plan!$C$6,E10,0)</f>
        <v>0</v>
      </c>
    </row>
    <row r="11" ht="17" customHeight="1" spans="2:10" x14ac:dyDescent="0.25">
      <c r="B11" s="15">
        <f>B10+1</f>
        <v>2031</v>
      </c>
      <c r="C11" s="16">
        <f>C10+1</f>
        <v>43</v>
      </c>
      <c r="D11" s="17" t="str">
        <f>IF(C11&lt;Plan!$C$6,"Saving","Retired")</f>
        <v>Saving</v>
      </c>
      <c r="E11" s="18">
        <f>I10</f>
        <v>137233.04</v>
      </c>
      <c r="F11" s="18">
        <f>IF(C11&lt;Plan!$C$6,ROUND(Plan!$E$6*12*(1+Plan!$G$6)^(C11-Plan!$B$6),2),0)</f>
        <v>9936.73</v>
      </c>
      <c r="G11" s="18">
        <f>IF(C11&gt;=Plan!$C$6,ROUND(MIN(E11,SUM(J$6:J11)*Plan!$H$6),2),0)</f>
        <v>0</v>
      </c>
      <c r="H11" s="18">
        <f>ROUND(MAX(0,E11+(F11-G11)/2)*Plan!$F$6,2)</f>
        <v>8532.08</v>
      </c>
      <c r="I11" s="18">
        <f>ROUND(MAX(0,E11+F11-G11+H11),2)</f>
        <v>155701.85</v>
      </c>
      <c r="J11" s="18">
        <f>IF(C11=Plan!$C$6,E11,0)</f>
        <v>0</v>
      </c>
    </row>
    <row r="12" ht="17" customHeight="1" spans="2:10" x14ac:dyDescent="0.25">
      <c r="B12" s="15">
        <f>B11+1</f>
        <v>2032</v>
      </c>
      <c r="C12" s="16">
        <f>C11+1</f>
        <v>44</v>
      </c>
      <c r="D12" s="17" t="str">
        <f>IF(C12&lt;Plan!$C$6,"Saving","Retired")</f>
        <v>Saving</v>
      </c>
      <c r="E12" s="18">
        <f>I11</f>
        <v>155701.85</v>
      </c>
      <c r="F12" s="18">
        <f>IF(C12&lt;Plan!$C$6,ROUND(Plan!$E$6*12*(1+Plan!$G$6)^(C12-Plan!$B$6),2),0)</f>
        <v>10135.46</v>
      </c>
      <c r="G12" s="18">
        <f>IF(C12&gt;=Plan!$C$6,ROUND(MIN(E12,SUM(J$6:J12)*Plan!$H$6),2),0)</f>
        <v>0</v>
      </c>
      <c r="H12" s="18">
        <f>ROUND(MAX(0,E12+(F12-G12)/2)*Plan!$F$6,2)</f>
        <v>9646.17</v>
      </c>
      <c r="I12" s="18">
        <f>ROUND(MAX(0,E12+F12-G12+H12),2)</f>
        <v>175483.48</v>
      </c>
      <c r="J12" s="18">
        <f>IF(C12=Plan!$C$6,E12,0)</f>
        <v>0</v>
      </c>
    </row>
    <row r="13" ht="17" customHeight="1" spans="2:10" x14ac:dyDescent="0.25">
      <c r="B13" s="15">
        <f>B12+1</f>
        <v>2033</v>
      </c>
      <c r="C13" s="16">
        <f>C12+1</f>
        <v>45</v>
      </c>
      <c r="D13" s="17" t="str">
        <f>IF(C13&lt;Plan!$C$6,"Saving","Retired")</f>
        <v>Saving</v>
      </c>
      <c r="E13" s="18">
        <f>I12</f>
        <v>175483.48</v>
      </c>
      <c r="F13" s="18">
        <f>IF(C13&lt;Plan!$C$6,ROUND(Plan!$E$6*12*(1+Plan!$G$6)^(C13-Plan!$B$6),2),0)</f>
        <v>10338.17</v>
      </c>
      <c r="G13" s="18">
        <f>IF(C13&gt;=Plan!$C$6,ROUND(MIN(E13,SUM(J$6:J13)*Plan!$H$6),2),0)</f>
        <v>0</v>
      </c>
      <c r="H13" s="18">
        <f>ROUND(MAX(0,E13+(F13-G13)/2)*Plan!$F$6,2)</f>
        <v>10839.15</v>
      </c>
      <c r="I13" s="18">
        <f>ROUND(MAX(0,E13+F13-G13+H13),2)</f>
        <v>196660.8</v>
      </c>
      <c r="J13" s="18">
        <f>IF(C13=Plan!$C$6,E13,0)</f>
        <v>0</v>
      </c>
    </row>
    <row r="14" ht="17" customHeight="1" spans="2:10" x14ac:dyDescent="0.25">
      <c r="B14" s="15">
        <f>B13+1</f>
        <v>2034</v>
      </c>
      <c r="C14" s="16">
        <f>C13+1</f>
        <v>46</v>
      </c>
      <c r="D14" s="17" t="str">
        <f>IF(C14&lt;Plan!$C$6,"Saving","Retired")</f>
        <v>Saving</v>
      </c>
      <c r="E14" s="18">
        <f>I13</f>
        <v>196660.8</v>
      </c>
      <c r="F14" s="18">
        <f>IF(C14&lt;Plan!$C$6,ROUND(Plan!$E$6*12*(1+Plan!$G$6)^(C14-Plan!$B$6),2),0)</f>
        <v>10544.93</v>
      </c>
      <c r="G14" s="18">
        <f>IF(C14&gt;=Plan!$C$6,ROUND(MIN(E14,SUM(J$6:J14)*Plan!$H$6),2),0)</f>
        <v>0</v>
      </c>
      <c r="H14" s="18">
        <f>ROUND(MAX(0,E14+(F14-G14)/2)*Plan!$F$6,2)</f>
        <v>12116</v>
      </c>
      <c r="I14" s="18">
        <f>ROUND(MAX(0,E14+F14-G14+H14),2)</f>
        <v>219321.73</v>
      </c>
      <c r="J14" s="18">
        <f>IF(C14=Plan!$C$6,E14,0)</f>
        <v>0</v>
      </c>
    </row>
    <row r="15" ht="17" customHeight="1" spans="2:10" x14ac:dyDescent="0.25">
      <c r="B15" s="15">
        <f>B14+1</f>
        <v>2035</v>
      </c>
      <c r="C15" s="16">
        <f>C14+1</f>
        <v>47</v>
      </c>
      <c r="D15" s="17" t="str">
        <f>IF(C15&lt;Plan!$C$6,"Saving","Retired")</f>
        <v>Saving</v>
      </c>
      <c r="E15" s="18">
        <f>I14</f>
        <v>219321.73</v>
      </c>
      <c r="F15" s="18">
        <f>IF(C15&lt;Plan!$C$6,ROUND(Plan!$E$6*12*(1+Plan!$G$6)^(C15-Plan!$B$6),2),0)</f>
        <v>10755.83</v>
      </c>
      <c r="G15" s="18">
        <f>IF(C15&gt;=Plan!$C$6,ROUND(MIN(E15,SUM(J$6:J15)*Plan!$H$6),2),0)</f>
        <v>0</v>
      </c>
      <c r="H15" s="18">
        <f>ROUND(MAX(0,E15+(F15-G15)/2)*Plan!$F$6,2)</f>
        <v>13481.98</v>
      </c>
      <c r="I15" s="18">
        <f>ROUND(MAX(0,E15+F15-G15+H15),2)</f>
        <v>243559.54</v>
      </c>
      <c r="J15" s="18">
        <f>IF(C15=Plan!$C$6,E15,0)</f>
        <v>0</v>
      </c>
    </row>
    <row r="16" ht="17" customHeight="1" spans="2:10" x14ac:dyDescent="0.25">
      <c r="B16" s="15">
        <f>B15+1</f>
        <v>2036</v>
      </c>
      <c r="C16" s="16">
        <f>C15+1</f>
        <v>48</v>
      </c>
      <c r="D16" s="17" t="str">
        <f>IF(C16&lt;Plan!$C$6,"Saving","Retired")</f>
        <v>Saving</v>
      </c>
      <c r="E16" s="18">
        <f>I15</f>
        <v>243559.54</v>
      </c>
      <c r="F16" s="18">
        <f>IF(C16&lt;Plan!$C$6,ROUND(Plan!$E$6*12*(1+Plan!$G$6)^(C16-Plan!$B$6),2),0)</f>
        <v>10970.95</v>
      </c>
      <c r="G16" s="18">
        <f>IF(C16&gt;=Plan!$C$6,ROUND(MIN(E16,SUM(J$6:J16)*Plan!$H$6),2),0)</f>
        <v>0</v>
      </c>
      <c r="H16" s="18">
        <f>ROUND(MAX(0,E16+(F16-G16)/2)*Plan!$F$6,2)</f>
        <v>14942.7</v>
      </c>
      <c r="I16" s="18">
        <f>ROUND(MAX(0,E16+F16-G16+H16),2)</f>
        <v>269473.19</v>
      </c>
      <c r="J16" s="18">
        <f>IF(C16=Plan!$C$6,E16,0)</f>
        <v>0</v>
      </c>
    </row>
    <row r="17" ht="17" customHeight="1" spans="2:10" x14ac:dyDescent="0.25">
      <c r="B17" s="15">
        <f>B16+1</f>
        <v>2037</v>
      </c>
      <c r="C17" s="16">
        <f>C16+1</f>
        <v>49</v>
      </c>
      <c r="D17" s="17" t="str">
        <f>IF(C17&lt;Plan!$C$6,"Saving","Retired")</f>
        <v>Saving</v>
      </c>
      <c r="E17" s="18">
        <f>I16</f>
        <v>269473.19</v>
      </c>
      <c r="F17" s="18">
        <f>IF(C17&lt;Plan!$C$6,ROUND(Plan!$E$6*12*(1+Plan!$G$6)^(C17-Plan!$B$6),2),0)</f>
        <v>11190.37</v>
      </c>
      <c r="G17" s="18">
        <f>IF(C17&gt;=Plan!$C$6,ROUND(MIN(E17,SUM(J$6:J17)*Plan!$H$6),2),0)</f>
        <v>0</v>
      </c>
      <c r="H17" s="18">
        <f>ROUND(MAX(0,E17+(F17-G17)/2)*Plan!$F$6,2)</f>
        <v>16504.1</v>
      </c>
      <c r="I17" s="18">
        <f>ROUND(MAX(0,E17+F17-G17+H17),2)</f>
        <v>297167.66</v>
      </c>
      <c r="J17" s="18">
        <f>IF(C17=Plan!$C$6,E17,0)</f>
        <v>0</v>
      </c>
    </row>
    <row r="18" ht="17" customHeight="1" spans="2:10" x14ac:dyDescent="0.25">
      <c r="B18" s="15">
        <f>B17+1</f>
        <v>2038</v>
      </c>
      <c r="C18" s="16">
        <f>C17+1</f>
        <v>50</v>
      </c>
      <c r="D18" s="17" t="str">
        <f>IF(C18&lt;Plan!$C$6,"Saving","Retired")</f>
        <v>Saving</v>
      </c>
      <c r="E18" s="18">
        <f>I17</f>
        <v>297167.66</v>
      </c>
      <c r="F18" s="18">
        <f>IF(C18&lt;Plan!$C$6,ROUND(Plan!$E$6*12*(1+Plan!$G$6)^(C18-Plan!$B$6),2),0)</f>
        <v>11414.18</v>
      </c>
      <c r="G18" s="18">
        <f>IF(C18&gt;=Plan!$C$6,ROUND(MIN(E18,SUM(J$6:J18)*Plan!$H$6),2),0)</f>
        <v>0</v>
      </c>
      <c r="H18" s="18">
        <f>ROUND(MAX(0,E18+(F18-G18)/2)*Plan!$F$6,2)</f>
        <v>18172.49</v>
      </c>
      <c r="I18" s="18">
        <f>ROUND(MAX(0,E18+F18-G18+H18),2)</f>
        <v>326754.33</v>
      </c>
      <c r="J18" s="18">
        <f>IF(C18=Plan!$C$6,E18,0)</f>
        <v>0</v>
      </c>
    </row>
    <row r="19" ht="17" customHeight="1" spans="2:10" x14ac:dyDescent="0.25">
      <c r="B19" s="15">
        <f>B18+1</f>
        <v>2039</v>
      </c>
      <c r="C19" s="16">
        <f>C18+1</f>
        <v>51</v>
      </c>
      <c r="D19" s="17" t="str">
        <f>IF(C19&lt;Plan!$C$6,"Saving","Retired")</f>
        <v>Saving</v>
      </c>
      <c r="E19" s="18">
        <f>I18</f>
        <v>326754.33</v>
      </c>
      <c r="F19" s="18">
        <f>IF(C19&lt;Plan!$C$6,ROUND(Plan!$E$6*12*(1+Plan!$G$6)^(C19-Plan!$B$6),2),0)</f>
        <v>11642.46</v>
      </c>
      <c r="G19" s="18">
        <f>IF(C19&gt;=Plan!$C$6,ROUND(MIN(E19,SUM(J$6:J19)*Plan!$H$6),2),0)</f>
        <v>0</v>
      </c>
      <c r="H19" s="18">
        <f>ROUND(MAX(0,E19+(F19-G19)/2)*Plan!$F$6,2)</f>
        <v>19954.53</v>
      </c>
      <c r="I19" s="18">
        <f>ROUND(MAX(0,E19+F19-G19+H19),2)</f>
        <v>358351.32</v>
      </c>
      <c r="J19" s="18">
        <f>IF(C19=Plan!$C$6,E19,0)</f>
        <v>0</v>
      </c>
    </row>
    <row r="20" ht="17" customHeight="1" spans="2:10" x14ac:dyDescent="0.25">
      <c r="B20" s="15">
        <f>B19+1</f>
        <v>2040</v>
      </c>
      <c r="C20" s="16">
        <f>C19+1</f>
        <v>52</v>
      </c>
      <c r="D20" s="17" t="str">
        <f>IF(C20&lt;Plan!$C$6,"Saving","Retired")</f>
        <v>Saving</v>
      </c>
      <c r="E20" s="18">
        <f>I19</f>
        <v>358351.32</v>
      </c>
      <c r="F20" s="18">
        <f>IF(C20&lt;Plan!$C$6,ROUND(Plan!$E$6*12*(1+Plan!$G$6)^(C20-Plan!$B$6),2),0)</f>
        <v>11875.31</v>
      </c>
      <c r="G20" s="18">
        <f>IF(C20&gt;=Plan!$C$6,ROUND(MIN(E20,SUM(J$6:J20)*Plan!$H$6),2),0)</f>
        <v>0</v>
      </c>
      <c r="H20" s="18">
        <f>ROUND(MAX(0,E20+(F20-G20)/2)*Plan!$F$6,2)</f>
        <v>21857.34</v>
      </c>
      <c r="I20" s="18">
        <f>ROUND(MAX(0,E20+F20-G20+H20),2)</f>
        <v>392083.97</v>
      </c>
      <c r="J20" s="18">
        <f>IF(C20=Plan!$C$6,E20,0)</f>
        <v>0</v>
      </c>
    </row>
    <row r="21" ht="17" customHeight="1" spans="2:10" x14ac:dyDescent="0.25">
      <c r="B21" s="15">
        <f>B20+1</f>
        <v>2041</v>
      </c>
      <c r="C21" s="16">
        <f>C20+1</f>
        <v>53</v>
      </c>
      <c r="D21" s="17" t="str">
        <f>IF(C21&lt;Plan!$C$6,"Saving","Retired")</f>
        <v>Saving</v>
      </c>
      <c r="E21" s="18">
        <f>I20</f>
        <v>392083.97</v>
      </c>
      <c r="F21" s="18">
        <f>IF(C21&lt;Plan!$C$6,ROUND(Plan!$E$6*12*(1+Plan!$G$6)^(C21-Plan!$B$6),2),0)</f>
        <v>12112.82</v>
      </c>
      <c r="G21" s="18">
        <f>IF(C21&gt;=Plan!$C$6,ROUND(MIN(E21,SUM(J$6:J21)*Plan!$H$6),2),0)</f>
        <v>0</v>
      </c>
      <c r="H21" s="18">
        <f>ROUND(MAX(0,E21+(F21-G21)/2)*Plan!$F$6,2)</f>
        <v>23888.42</v>
      </c>
      <c r="I21" s="18">
        <f>ROUND(MAX(0,E21+F21-G21+H21),2)</f>
        <v>428085.21</v>
      </c>
      <c r="J21" s="18">
        <f>IF(C21=Plan!$C$6,E21,0)</f>
        <v>0</v>
      </c>
    </row>
    <row r="22" ht="17" customHeight="1" spans="2:10" x14ac:dyDescent="0.25">
      <c r="B22" s="15">
        <f>B21+1</f>
        <v>2042</v>
      </c>
      <c r="C22" s="16">
        <f>C21+1</f>
        <v>54</v>
      </c>
      <c r="D22" s="17" t="str">
        <f>IF(C22&lt;Plan!$C$6,"Saving","Retired")</f>
        <v>Saving</v>
      </c>
      <c r="E22" s="18">
        <f>I21</f>
        <v>428085.21</v>
      </c>
      <c r="F22" s="18">
        <f>IF(C22&lt;Plan!$C$6,ROUND(Plan!$E$6*12*(1+Plan!$G$6)^(C22-Plan!$B$6),2),0)</f>
        <v>12355.07</v>
      </c>
      <c r="G22" s="18">
        <f>IF(C22&gt;=Plan!$C$6,ROUND(MIN(E22,SUM(J$6:J22)*Plan!$H$6),2),0)</f>
        <v>0</v>
      </c>
      <c r="H22" s="18">
        <f>ROUND(MAX(0,E22+(F22-G22)/2)*Plan!$F$6,2)</f>
        <v>26055.76</v>
      </c>
      <c r="I22" s="18">
        <f>ROUND(MAX(0,E22+F22-G22+H22),2)</f>
        <v>466496.04</v>
      </c>
      <c r="J22" s="18">
        <f>IF(C22=Plan!$C$6,E22,0)</f>
        <v>0</v>
      </c>
    </row>
    <row r="23" ht="17" customHeight="1" spans="2:10" x14ac:dyDescent="0.25">
      <c r="B23" s="15">
        <f>B22+1</f>
        <v>2043</v>
      </c>
      <c r="C23" s="16">
        <f>C22+1</f>
        <v>55</v>
      </c>
      <c r="D23" s="17" t="str">
        <f>IF(C23&lt;Plan!$C$6,"Saving","Retired")</f>
        <v>Saving</v>
      </c>
      <c r="E23" s="18">
        <f>I22</f>
        <v>466496.04</v>
      </c>
      <c r="F23" s="18">
        <f>IF(C23&lt;Plan!$C$6,ROUND(Plan!$E$6*12*(1+Plan!$G$6)^(C23-Plan!$B$6),2),0)</f>
        <v>12602.17</v>
      </c>
      <c r="G23" s="18">
        <f>IF(C23&gt;=Plan!$C$6,ROUND(MIN(E23,SUM(J$6:J23)*Plan!$H$6),2),0)</f>
        <v>0</v>
      </c>
      <c r="H23" s="18">
        <f>ROUND(MAX(0,E23+(F23-G23)/2)*Plan!$F$6,2)</f>
        <v>28367.83</v>
      </c>
      <c r="I23" s="18">
        <f>ROUND(MAX(0,E23+F23-G23+H23),2)</f>
        <v>507466.04</v>
      </c>
      <c r="J23" s="18">
        <f>IF(C23=Plan!$C$6,E23,0)</f>
        <v>0</v>
      </c>
    </row>
    <row r="24" ht="17" customHeight="1" spans="2:10" x14ac:dyDescent="0.25">
      <c r="B24" s="15">
        <f>B23+1</f>
        <v>2044</v>
      </c>
      <c r="C24" s="16">
        <f>C23+1</f>
        <v>56</v>
      </c>
      <c r="D24" s="17" t="str">
        <f>IF(C24&lt;Plan!$C$6,"Saving","Retired")</f>
        <v>Saving</v>
      </c>
      <c r="E24" s="18">
        <f>I23</f>
        <v>507466.04</v>
      </c>
      <c r="F24" s="18">
        <f>IF(C24&lt;Plan!$C$6,ROUND(Plan!$E$6*12*(1+Plan!$G$6)^(C24-Plan!$B$6),2),0)</f>
        <v>12854.22</v>
      </c>
      <c r="G24" s="18">
        <f>IF(C24&gt;=Plan!$C$6,ROUND(MIN(E24,SUM(J$6:J24)*Plan!$H$6),2),0)</f>
        <v>0</v>
      </c>
      <c r="H24" s="18">
        <f>ROUND(MAX(0,E24+(F24-G24)/2)*Plan!$F$6,2)</f>
        <v>30833.59</v>
      </c>
      <c r="I24" s="18">
        <f>ROUND(MAX(0,E24+F24-G24+H24),2)</f>
        <v>551153.85</v>
      </c>
      <c r="J24" s="18">
        <f>IF(C24=Plan!$C$6,E24,0)</f>
        <v>0</v>
      </c>
    </row>
    <row r="25" ht="17" customHeight="1" spans="2:10" x14ac:dyDescent="0.25">
      <c r="B25" s="15">
        <f>B24+1</f>
        <v>2045</v>
      </c>
      <c r="C25" s="16">
        <f>C24+1</f>
        <v>57</v>
      </c>
      <c r="D25" s="17" t="str">
        <f>IF(C25&lt;Plan!$C$6,"Saving","Retired")</f>
        <v>Saving</v>
      </c>
      <c r="E25" s="18">
        <f>I24</f>
        <v>551153.85</v>
      </c>
      <c r="F25" s="18">
        <f>IF(C25&lt;Plan!$C$6,ROUND(Plan!$E$6*12*(1+Plan!$G$6)^(C25-Plan!$B$6),2),0)</f>
        <v>13111.3</v>
      </c>
      <c r="G25" s="18">
        <f>IF(C25&gt;=Plan!$C$6,ROUND(MIN(E25,SUM(J$6:J25)*Plan!$H$6),2),0)</f>
        <v>0</v>
      </c>
      <c r="H25" s="18">
        <f>ROUND(MAX(0,E25+(F25-G25)/2)*Plan!$F$6,2)</f>
        <v>33462.57</v>
      </c>
      <c r="I25" s="18">
        <f>ROUND(MAX(0,E25+F25-G25+H25),2)</f>
        <v>597727.72</v>
      </c>
      <c r="J25" s="18">
        <f>IF(C25=Plan!$C$6,E25,0)</f>
        <v>0</v>
      </c>
    </row>
    <row r="26" ht="17" customHeight="1" spans="2:10" x14ac:dyDescent="0.25">
      <c r="B26" s="15">
        <f>B25+1</f>
        <v>2046</v>
      </c>
      <c r="C26" s="16">
        <f>C25+1</f>
        <v>58</v>
      </c>
      <c r="D26" s="17" t="str">
        <f>IF(C26&lt;Plan!$C$6,"Saving","Retired")</f>
        <v>Saving</v>
      </c>
      <c r="E26" s="18">
        <f>I25</f>
        <v>597727.72</v>
      </c>
      <c r="F26" s="18">
        <f>IF(C26&lt;Plan!$C$6,ROUND(Plan!$E$6*12*(1+Plan!$G$6)^(C26-Plan!$B$6),2),0)</f>
        <v>13373.53</v>
      </c>
      <c r="G26" s="18">
        <f>IF(C26&gt;=Plan!$C$6,ROUND(MIN(E26,SUM(J$6:J26)*Plan!$H$6),2),0)</f>
        <v>0</v>
      </c>
      <c r="H26" s="18">
        <f>ROUND(MAX(0,E26+(F26-G26)/2)*Plan!$F$6,2)</f>
        <v>36264.87</v>
      </c>
      <c r="I26" s="18">
        <f>ROUND(MAX(0,E26+F26-G26+H26),2)</f>
        <v>647366.12</v>
      </c>
      <c r="J26" s="18">
        <f>IF(C26=Plan!$C$6,E26,0)</f>
        <v>0</v>
      </c>
    </row>
    <row r="27" ht="17" customHeight="1" spans="2:10" x14ac:dyDescent="0.25">
      <c r="B27" s="15">
        <f>B26+1</f>
        <v>2047</v>
      </c>
      <c r="C27" s="16">
        <f>C26+1</f>
        <v>59</v>
      </c>
      <c r="D27" s="17" t="str">
        <f>IF(C27&lt;Plan!$C$6,"Saving","Retired")</f>
        <v>Saving</v>
      </c>
      <c r="E27" s="18">
        <f>I26</f>
        <v>647366.12</v>
      </c>
      <c r="F27" s="18">
        <f>IF(C27&lt;Plan!$C$6,ROUND(Plan!$E$6*12*(1+Plan!$G$6)^(C27-Plan!$B$6),2),0)</f>
        <v>13641</v>
      </c>
      <c r="G27" s="18">
        <f>IF(C27&gt;=Plan!$C$6,ROUND(MIN(E27,SUM(J$6:J27)*Plan!$H$6),2),0)</f>
        <v>0</v>
      </c>
      <c r="H27" s="18">
        <f>ROUND(MAX(0,E27+(F27-G27)/2)*Plan!$F$6,2)</f>
        <v>39251.2</v>
      </c>
      <c r="I27" s="18">
        <f>ROUND(MAX(0,E27+F27-G27+H27),2)</f>
        <v>700258.32</v>
      </c>
      <c r="J27" s="18">
        <f>IF(C27=Plan!$C$6,E27,0)</f>
        <v>0</v>
      </c>
    </row>
    <row r="28" ht="17" customHeight="1" spans="2:10" x14ac:dyDescent="0.25">
      <c r="B28" s="15">
        <f>B27+1</f>
        <v>2048</v>
      </c>
      <c r="C28" s="16">
        <f>C27+1</f>
        <v>60</v>
      </c>
      <c r="D28" s="17" t="str">
        <f>IF(C28&lt;Plan!$C$6,"Saving","Retired")</f>
        <v>Saving</v>
      </c>
      <c r="E28" s="18">
        <f>I27</f>
        <v>700258.32</v>
      </c>
      <c r="F28" s="18">
        <f>IF(C28&lt;Plan!$C$6,ROUND(Plan!$E$6*12*(1+Plan!$G$6)^(C28-Plan!$B$6),2),0)</f>
        <v>13913.82</v>
      </c>
      <c r="G28" s="18">
        <f>IF(C28&gt;=Plan!$C$6,ROUND(MIN(E28,SUM(J$6:J28)*Plan!$H$6),2),0)</f>
        <v>0</v>
      </c>
      <c r="H28" s="18">
        <f>ROUND(MAX(0,E28+(F28-G28)/2)*Plan!$F$6,2)</f>
        <v>42432.91</v>
      </c>
      <c r="I28" s="18">
        <f>ROUND(MAX(0,E28+F28-G28+H28),2)</f>
        <v>756605.05</v>
      </c>
      <c r="J28" s="18">
        <f>IF(C28=Plan!$C$6,E28,0)</f>
        <v>0</v>
      </c>
    </row>
    <row r="29" ht="17" customHeight="1" spans="2:10" x14ac:dyDescent="0.25">
      <c r="B29" s="15">
        <f>B28+1</f>
        <v>2049</v>
      </c>
      <c r="C29" s="16">
        <f>C28+1</f>
        <v>61</v>
      </c>
      <c r="D29" s="17" t="str">
        <f>IF(C29&lt;Plan!$C$6,"Saving","Retired")</f>
        <v>Saving</v>
      </c>
      <c r="E29" s="18">
        <f>I28</f>
        <v>756605.05</v>
      </c>
      <c r="F29" s="18">
        <f>IF(C29&lt;Plan!$C$6,ROUND(Plan!$E$6*12*(1+Plan!$G$6)^(C29-Plan!$B$6),2),0)</f>
        <v>14192.09</v>
      </c>
      <c r="G29" s="18">
        <f>IF(C29&gt;=Plan!$C$6,ROUND(MIN(E29,SUM(J$6:J29)*Plan!$H$6),2),0)</f>
        <v>0</v>
      </c>
      <c r="H29" s="18">
        <f>ROUND(MAX(0,E29+(F29-G29)/2)*Plan!$F$6,2)</f>
        <v>45822.07</v>
      </c>
      <c r="I29" s="18">
        <f>ROUND(MAX(0,E29+F29-G29+H29),2)</f>
        <v>816619.21</v>
      </c>
      <c r="J29" s="18">
        <f>IF(C29=Plan!$C$6,E29,0)</f>
        <v>0</v>
      </c>
    </row>
    <row r="30" ht="17" customHeight="1" spans="2:10" x14ac:dyDescent="0.25">
      <c r="B30" s="15">
        <f>B29+1</f>
        <v>2050</v>
      </c>
      <c r="C30" s="16">
        <f>C29+1</f>
        <v>62</v>
      </c>
      <c r="D30" s="17" t="str">
        <f>IF(C30&lt;Plan!$C$6,"Saving","Retired")</f>
        <v>Saving</v>
      </c>
      <c r="E30" s="18">
        <f>I29</f>
        <v>816619.21</v>
      </c>
      <c r="F30" s="18">
        <f>IF(C30&lt;Plan!$C$6,ROUND(Plan!$E$6*12*(1+Plan!$G$6)^(C30-Plan!$B$6),2),0)</f>
        <v>14475.94</v>
      </c>
      <c r="G30" s="18">
        <f>IF(C30&gt;=Plan!$C$6,ROUND(MIN(E30,SUM(J$6:J30)*Plan!$H$6),2),0)</f>
        <v>0</v>
      </c>
      <c r="H30" s="18">
        <f>ROUND(MAX(0,E30+(F30-G30)/2)*Plan!$F$6,2)</f>
        <v>49431.43</v>
      </c>
      <c r="I30" s="18">
        <f>ROUND(MAX(0,E30+F30-G30+H30),2)</f>
        <v>880526.58</v>
      </c>
      <c r="J30" s="18">
        <f>IF(C30=Plan!$C$6,E30,0)</f>
        <v>0</v>
      </c>
    </row>
    <row r="31" ht="17" customHeight="1" spans="2:10" x14ac:dyDescent="0.25">
      <c r="B31" s="15">
        <f>B30+1</f>
        <v>2051</v>
      </c>
      <c r="C31" s="16">
        <f>C30+1</f>
        <v>63</v>
      </c>
      <c r="D31" s="17" t="str">
        <f>IF(C31&lt;Plan!$C$6,"Saving","Retired")</f>
        <v>Saving</v>
      </c>
      <c r="E31" s="18">
        <f>I30</f>
        <v>880526.58</v>
      </c>
      <c r="F31" s="18">
        <f>IF(C31&lt;Plan!$C$6,ROUND(Plan!$E$6*12*(1+Plan!$G$6)^(C31-Plan!$B$6),2),0)</f>
        <v>14765.45</v>
      </c>
      <c r="G31" s="18">
        <f>IF(C31&gt;=Plan!$C$6,ROUND(MIN(E31,SUM(J$6:J31)*Plan!$H$6),2),0)</f>
        <v>0</v>
      </c>
      <c r="H31" s="18">
        <f>ROUND(MAX(0,E31+(F31-G31)/2)*Plan!$F$6,2)</f>
        <v>53274.56</v>
      </c>
      <c r="I31" s="18">
        <f>ROUND(MAX(0,E31+F31-G31+H31),2)</f>
        <v>948566.59</v>
      </c>
      <c r="J31" s="18">
        <f>IF(C31=Plan!$C$6,E31,0)</f>
        <v>0</v>
      </c>
    </row>
    <row r="32" ht="17" customHeight="1" spans="2:10" x14ac:dyDescent="0.25">
      <c r="B32" s="15">
        <f>B31+1</f>
        <v>2052</v>
      </c>
      <c r="C32" s="16">
        <f>C31+1</f>
        <v>64</v>
      </c>
      <c r="D32" s="17" t="str">
        <f>IF(C32&lt;Plan!$C$6,"Saving","Retired")</f>
        <v>Saving</v>
      </c>
      <c r="E32" s="18">
        <f>I31</f>
        <v>948566.59</v>
      </c>
      <c r="F32" s="18">
        <f>IF(C32&lt;Plan!$C$6,ROUND(Plan!$E$6*12*(1+Plan!$G$6)^(C32-Plan!$B$6),2),0)</f>
        <v>15060.76</v>
      </c>
      <c r="G32" s="18">
        <f>IF(C32&gt;=Plan!$C$6,ROUND(MIN(E32,SUM(J$6:J32)*Plan!$H$6),2),0)</f>
        <v>0</v>
      </c>
      <c r="H32" s="18">
        <f>ROUND(MAX(0,E32+(F32-G32)/2)*Plan!$F$6,2)</f>
        <v>57365.82</v>
      </c>
      <c r="I32" s="18">
        <f>ROUND(MAX(0,E32+F32-G32+H32),2)</f>
        <v>1020993.17</v>
      </c>
      <c r="J32" s="18">
        <f>IF(C32=Plan!$C$6,E32,0)</f>
        <v>0</v>
      </c>
    </row>
    <row r="33" ht="17" customHeight="1" spans="2:10" x14ac:dyDescent="0.25">
      <c r="B33" s="15">
        <f>B32+1</f>
        <v>2053</v>
      </c>
      <c r="C33" s="16">
        <f>C32+1</f>
        <v>65</v>
      </c>
      <c r="D33" s="17" t="str">
        <f>IF(C33&lt;Plan!$C$6,"Saving","Retired")</f>
        <v>Retired</v>
      </c>
      <c r="E33" s="18">
        <f>I32</f>
        <v>1020993.17</v>
      </c>
      <c r="F33" s="18">
        <f>IF(C33&lt;Plan!$C$6,ROUND(Plan!$E$6*12*(1+Plan!$G$6)^(C33-Plan!$B$6),2),0)</f>
        <v>0</v>
      </c>
      <c r="G33" s="18">
        <f>IF(C33&gt;=Plan!$C$6,ROUND(MIN(E33,SUM(J$6:J33)*Plan!$H$6),2),0)</f>
        <v>40839.73</v>
      </c>
      <c r="H33" s="18">
        <f>ROUND(MAX(0,E33+(F33-G33)/2)*Plan!$F$6,2)</f>
        <v>60034.4</v>
      </c>
      <c r="I33" s="18">
        <f>ROUND(MAX(0,E33+F33-G33+H33),2)</f>
        <v>1040187.84</v>
      </c>
      <c r="J33" s="18">
        <f>IF(C33=Plan!$C$6,E33,0)</f>
        <v>1020993.17</v>
      </c>
    </row>
    <row r="34" ht="17" customHeight="1" spans="2:10" x14ac:dyDescent="0.25">
      <c r="B34" s="15">
        <f>B33+1</f>
        <v>2054</v>
      </c>
      <c r="C34" s="16">
        <f>C33+1</f>
        <v>66</v>
      </c>
      <c r="D34" s="17" t="str">
        <f>IF(C34&lt;Plan!$C$6,"Saving","Retired")</f>
        <v>Retired</v>
      </c>
      <c r="E34" s="18">
        <f>I33</f>
        <v>1040187.84</v>
      </c>
      <c r="F34" s="18">
        <f>IF(C34&lt;Plan!$C$6,ROUND(Plan!$E$6*12*(1+Plan!$G$6)^(C34-Plan!$B$6),2),0)</f>
        <v>0</v>
      </c>
      <c r="G34" s="18">
        <f>IF(C34&gt;=Plan!$C$6,ROUND(MIN(E34,SUM(J$6:J34)*Plan!$H$6),2),0)</f>
        <v>40839.73</v>
      </c>
      <c r="H34" s="18">
        <f>ROUND(MAX(0,E34+(F34-G34)/2)*Plan!$F$6,2)</f>
        <v>61186.08</v>
      </c>
      <c r="I34" s="18">
        <f>ROUND(MAX(0,E34+F34-G34+H34),2)</f>
        <v>1060534.19</v>
      </c>
      <c r="J34" s="18">
        <f>IF(C34=Plan!$C$6,E34,0)</f>
        <v>0</v>
      </c>
    </row>
    <row r="35" ht="17" customHeight="1" spans="2:10" x14ac:dyDescent="0.25">
      <c r="B35" s="15">
        <f>B34+1</f>
        <v>2055</v>
      </c>
      <c r="C35" s="16">
        <f>C34+1</f>
        <v>67</v>
      </c>
      <c r="D35" s="17" t="str">
        <f>IF(C35&lt;Plan!$C$6,"Saving","Retired")</f>
        <v>Retired</v>
      </c>
      <c r="E35" s="18">
        <f>I34</f>
        <v>1060534.19</v>
      </c>
      <c r="F35" s="18">
        <f>IF(C35&lt;Plan!$C$6,ROUND(Plan!$E$6*12*(1+Plan!$G$6)^(C35-Plan!$B$6),2),0)</f>
        <v>0</v>
      </c>
      <c r="G35" s="18">
        <f>IF(C35&gt;=Plan!$C$6,ROUND(MIN(E35,SUM(J$6:J35)*Plan!$H$6),2),0)</f>
        <v>40839.73</v>
      </c>
      <c r="H35" s="18">
        <f>ROUND(MAX(0,E35+(F35-G35)/2)*Plan!$F$6,2)</f>
        <v>62406.86</v>
      </c>
      <c r="I35" s="18">
        <f>ROUND(MAX(0,E35+F35-G35+H35),2)</f>
        <v>1082101.32</v>
      </c>
      <c r="J35" s="18">
        <f>IF(C35=Plan!$C$6,E35,0)</f>
        <v>0</v>
      </c>
    </row>
    <row r="36" ht="17" customHeight="1" spans="2:10" x14ac:dyDescent="0.25">
      <c r="B36" s="15">
        <f>B35+1</f>
        <v>2056</v>
      </c>
      <c r="C36" s="16">
        <f>C35+1</f>
        <v>68</v>
      </c>
      <c r="D36" s="17" t="str">
        <f>IF(C36&lt;Plan!$C$6,"Saving","Retired")</f>
        <v>Retired</v>
      </c>
      <c r="E36" s="18">
        <f>I35</f>
        <v>1082101.32</v>
      </c>
      <c r="F36" s="18">
        <f>IF(C36&lt;Plan!$C$6,ROUND(Plan!$E$6*12*(1+Plan!$G$6)^(C36-Plan!$B$6),2),0)</f>
        <v>0</v>
      </c>
      <c r="G36" s="18">
        <f>IF(C36&gt;=Plan!$C$6,ROUND(MIN(E36,SUM(J$6:J36)*Plan!$H$6),2),0)</f>
        <v>40839.73</v>
      </c>
      <c r="H36" s="18">
        <f>ROUND(MAX(0,E36+(F36-G36)/2)*Plan!$F$6,2)</f>
        <v>63700.89</v>
      </c>
      <c r="I36" s="18">
        <f>ROUND(MAX(0,E36+F36-G36+H36),2)</f>
        <v>1104962.48</v>
      </c>
      <c r="J36" s="18">
        <f>IF(C36=Plan!$C$6,E36,0)</f>
        <v>0</v>
      </c>
    </row>
    <row r="37" ht="17" customHeight="1" spans="2:10" x14ac:dyDescent="0.25">
      <c r="B37" s="15">
        <f>B36+1</f>
        <v>2057</v>
      </c>
      <c r="C37" s="16">
        <f>C36+1</f>
        <v>69</v>
      </c>
      <c r="D37" s="17" t="str">
        <f>IF(C37&lt;Plan!$C$6,"Saving","Retired")</f>
        <v>Retired</v>
      </c>
      <c r="E37" s="18">
        <f>I36</f>
        <v>1104962.48</v>
      </c>
      <c r="F37" s="18">
        <f>IF(C37&lt;Plan!$C$6,ROUND(Plan!$E$6*12*(1+Plan!$G$6)^(C37-Plan!$B$6),2),0)</f>
        <v>0</v>
      </c>
      <c r="G37" s="18">
        <f>IF(C37&gt;=Plan!$C$6,ROUND(MIN(E37,SUM(J$6:J37)*Plan!$H$6),2),0)</f>
        <v>40839.73</v>
      </c>
      <c r="H37" s="18">
        <f>ROUND(MAX(0,E37+(F37-G37)/2)*Plan!$F$6,2)</f>
        <v>65072.56</v>
      </c>
      <c r="I37" s="18">
        <f>ROUND(MAX(0,E37+F37-G37+H37),2)</f>
        <v>1129195.31</v>
      </c>
      <c r="J37" s="18">
        <f>IF(C37=Plan!$C$6,E37,0)</f>
        <v>0</v>
      </c>
    </row>
    <row r="38" ht="17" customHeight="1" spans="2:10" x14ac:dyDescent="0.25">
      <c r="B38" s="15">
        <f>B37+1</f>
        <v>2058</v>
      </c>
      <c r="C38" s="16">
        <f>C37+1</f>
        <v>70</v>
      </c>
      <c r="D38" s="17" t="str">
        <f>IF(C38&lt;Plan!$C$6,"Saving","Retired")</f>
        <v>Retired</v>
      </c>
      <c r="E38" s="18">
        <f>I37</f>
        <v>1129195.31</v>
      </c>
      <c r="F38" s="18">
        <f>IF(C38&lt;Plan!$C$6,ROUND(Plan!$E$6*12*(1+Plan!$G$6)^(C38-Plan!$B$6),2),0)</f>
        <v>0</v>
      </c>
      <c r="G38" s="18">
        <f>IF(C38&gt;=Plan!$C$6,ROUND(MIN(E38,SUM(J$6:J38)*Plan!$H$6),2),0)</f>
        <v>40839.73</v>
      </c>
      <c r="H38" s="18">
        <f>ROUND(MAX(0,E38+(F38-G38)/2)*Plan!$F$6,2)</f>
        <v>66526.53</v>
      </c>
      <c r="I38" s="18">
        <f>ROUND(MAX(0,E38+F38-G38+H38),2)</f>
        <v>1154882.11</v>
      </c>
      <c r="J38" s="18">
        <f>IF(C38=Plan!$C$6,E38,0)</f>
        <v>0</v>
      </c>
    </row>
    <row r="39" ht="17" customHeight="1" spans="2:10" x14ac:dyDescent="0.25">
      <c r="B39" s="15">
        <f>B38+1</f>
        <v>2059</v>
      </c>
      <c r="C39" s="16">
        <f>C38+1</f>
        <v>71</v>
      </c>
      <c r="D39" s="17" t="str">
        <f>IF(C39&lt;Plan!$C$6,"Saving","Retired")</f>
        <v>Retired</v>
      </c>
      <c r="E39" s="18">
        <f>I38</f>
        <v>1154882.11</v>
      </c>
      <c r="F39" s="18">
        <f>IF(C39&lt;Plan!$C$6,ROUND(Plan!$E$6*12*(1+Plan!$G$6)^(C39-Plan!$B$6),2),0)</f>
        <v>0</v>
      </c>
      <c r="G39" s="18">
        <f>IF(C39&gt;=Plan!$C$6,ROUND(MIN(E39,SUM(J$6:J39)*Plan!$H$6),2),0)</f>
        <v>40839.73</v>
      </c>
      <c r="H39" s="18">
        <f>ROUND(MAX(0,E39+(F39-G39)/2)*Plan!$F$6,2)</f>
        <v>68067.73</v>
      </c>
      <c r="I39" s="18">
        <f>ROUND(MAX(0,E39+F39-G39+H39),2)</f>
        <v>1182110.11</v>
      </c>
      <c r="J39" s="18">
        <f>IF(C39=Plan!$C$6,E39,0)</f>
        <v>0</v>
      </c>
    </row>
    <row r="40" ht="17" customHeight="1" spans="2:10" x14ac:dyDescent="0.25">
      <c r="B40" s="15">
        <f>B39+1</f>
        <v>2060</v>
      </c>
      <c r="C40" s="16">
        <f>C39+1</f>
        <v>72</v>
      </c>
      <c r="D40" s="17" t="str">
        <f>IF(C40&lt;Plan!$C$6,"Saving","Retired")</f>
        <v>Retired</v>
      </c>
      <c r="E40" s="18">
        <f>I39</f>
        <v>1182110.11</v>
      </c>
      <c r="F40" s="18">
        <f>IF(C40&lt;Plan!$C$6,ROUND(Plan!$E$6*12*(1+Plan!$G$6)^(C40-Plan!$B$6),2),0)</f>
        <v>0</v>
      </c>
      <c r="G40" s="18">
        <f>IF(C40&gt;=Plan!$C$6,ROUND(MIN(E40,SUM(J$6:J40)*Plan!$H$6),2),0)</f>
        <v>40839.73</v>
      </c>
      <c r="H40" s="18">
        <f>ROUND(MAX(0,E40+(F40-G40)/2)*Plan!$F$6,2)</f>
        <v>69701.41</v>
      </c>
      <c r="I40" s="18">
        <f>ROUND(MAX(0,E40+F40-G40+H40),2)</f>
        <v>1210971.79</v>
      </c>
      <c r="J40" s="18">
        <f>IF(C40=Plan!$C$6,E40,0)</f>
        <v>0</v>
      </c>
    </row>
    <row r="41" ht="17" customHeight="1" spans="2:10" x14ac:dyDescent="0.25">
      <c r="B41" s="15">
        <f>B40+1</f>
        <v>2061</v>
      </c>
      <c r="C41" s="16">
        <f>C40+1</f>
        <v>73</v>
      </c>
      <c r="D41" s="17" t="str">
        <f>IF(C41&lt;Plan!$C$6,"Saving","Retired")</f>
        <v>Retired</v>
      </c>
      <c r="E41" s="18">
        <f>I40</f>
        <v>1210971.79</v>
      </c>
      <c r="F41" s="18">
        <f>IF(C41&lt;Plan!$C$6,ROUND(Plan!$E$6*12*(1+Plan!$G$6)^(C41-Plan!$B$6),2),0)</f>
        <v>0</v>
      </c>
      <c r="G41" s="18">
        <f>IF(C41&gt;=Plan!$C$6,ROUND(MIN(E41,SUM(J$6:J41)*Plan!$H$6),2),0)</f>
        <v>40839.73</v>
      </c>
      <c r="H41" s="18">
        <f>ROUND(MAX(0,E41+(F41-G41)/2)*Plan!$F$6,2)</f>
        <v>71433.12</v>
      </c>
      <c r="I41" s="18">
        <f>ROUND(MAX(0,E41+F41-G41+H41),2)</f>
        <v>1241565.18</v>
      </c>
      <c r="J41" s="18">
        <f>IF(C41=Plan!$C$6,E41,0)</f>
        <v>0</v>
      </c>
    </row>
    <row r="42" ht="17" customHeight="1" spans="2:10" x14ac:dyDescent="0.25">
      <c r="B42" s="15">
        <f>B41+1</f>
        <v>2062</v>
      </c>
      <c r="C42" s="16">
        <f>C41+1</f>
        <v>74</v>
      </c>
      <c r="D42" s="17" t="str">
        <f>IF(C42&lt;Plan!$C$6,"Saving","Retired")</f>
        <v>Retired</v>
      </c>
      <c r="E42" s="18">
        <f>I41</f>
        <v>1241565.18</v>
      </c>
      <c r="F42" s="18">
        <f>IF(C42&lt;Plan!$C$6,ROUND(Plan!$E$6*12*(1+Plan!$G$6)^(C42-Plan!$B$6),2),0)</f>
        <v>0</v>
      </c>
      <c r="G42" s="18">
        <f>IF(C42&gt;=Plan!$C$6,ROUND(MIN(E42,SUM(J$6:J42)*Plan!$H$6),2),0)</f>
        <v>40839.73</v>
      </c>
      <c r="H42" s="18">
        <f>ROUND(MAX(0,E42+(F42-G42)/2)*Plan!$F$6,2)</f>
        <v>73268.72</v>
      </c>
      <c r="I42" s="18">
        <f>ROUND(MAX(0,E42+F42-G42+H42),2)</f>
        <v>1273994.17</v>
      </c>
      <c r="J42" s="18">
        <f>IF(C42=Plan!$C$6,E42,0)</f>
        <v>0</v>
      </c>
    </row>
    <row r="43" ht="17" customHeight="1" spans="2:10" x14ac:dyDescent="0.25">
      <c r="B43" s="15">
        <f>B42+1</f>
        <v>2063</v>
      </c>
      <c r="C43" s="16">
        <f>C42+1</f>
        <v>75</v>
      </c>
      <c r="D43" s="17" t="str">
        <f>IF(C43&lt;Plan!$C$6,"Saving","Retired")</f>
        <v>Retired</v>
      </c>
      <c r="E43" s="18">
        <f>I42</f>
        <v>1273994.17</v>
      </c>
      <c r="F43" s="18">
        <f>IF(C43&lt;Plan!$C$6,ROUND(Plan!$E$6*12*(1+Plan!$G$6)^(C43-Plan!$B$6),2),0)</f>
        <v>0</v>
      </c>
      <c r="G43" s="18">
        <f>IF(C43&gt;=Plan!$C$6,ROUND(MIN(E43,SUM(J$6:J43)*Plan!$H$6),2),0)</f>
        <v>40839.73</v>
      </c>
      <c r="H43" s="18">
        <f>ROUND(MAX(0,E43+(F43-G43)/2)*Plan!$F$6,2)</f>
        <v>75214.46</v>
      </c>
      <c r="I43" s="18">
        <f>ROUND(MAX(0,E43+F43-G43+H43),2)</f>
        <v>1308368.9</v>
      </c>
      <c r="J43" s="18">
        <f>IF(C43=Plan!$C$6,E43,0)</f>
        <v>0</v>
      </c>
    </row>
    <row r="44" ht="17" customHeight="1" spans="2:10" x14ac:dyDescent="0.25">
      <c r="B44" s="15">
        <f>B43+1</f>
        <v>2064</v>
      </c>
      <c r="C44" s="16">
        <f>C43+1</f>
        <v>76</v>
      </c>
      <c r="D44" s="17" t="str">
        <f>IF(C44&lt;Plan!$C$6,"Saving","Retired")</f>
        <v>Retired</v>
      </c>
      <c r="E44" s="18">
        <f>I43</f>
        <v>1308368.9</v>
      </c>
      <c r="F44" s="18">
        <f>IF(C44&lt;Plan!$C$6,ROUND(Plan!$E$6*12*(1+Plan!$G$6)^(C44-Plan!$B$6),2),0)</f>
        <v>0</v>
      </c>
      <c r="G44" s="18">
        <f>IF(C44&gt;=Plan!$C$6,ROUND(MIN(E44,SUM(J$6:J44)*Plan!$H$6),2),0)</f>
        <v>40839.73</v>
      </c>
      <c r="H44" s="18">
        <f>ROUND(MAX(0,E44+(F44-G44)/2)*Plan!$F$6,2)</f>
        <v>77276.94</v>
      </c>
      <c r="I44" s="18">
        <f>ROUND(MAX(0,E44+F44-G44+H44),2)</f>
        <v>1344806.11</v>
      </c>
      <c r="J44" s="18">
        <f>IF(C44=Plan!$C$6,E44,0)</f>
        <v>0</v>
      </c>
    </row>
    <row r="45" ht="17" customHeight="1" spans="2:10" x14ac:dyDescent="0.25">
      <c r="B45" s="15">
        <f>B44+1</f>
        <v>2065</v>
      </c>
      <c r="C45" s="16">
        <f>C44+1</f>
        <v>77</v>
      </c>
      <c r="D45" s="17" t="str">
        <f>IF(C45&lt;Plan!$C$6,"Saving","Retired")</f>
        <v>Retired</v>
      </c>
      <c r="E45" s="18">
        <f>I44</f>
        <v>1344806.11</v>
      </c>
      <c r="F45" s="18">
        <f>IF(C45&lt;Plan!$C$6,ROUND(Plan!$E$6*12*(1+Plan!$G$6)^(C45-Plan!$B$6),2),0)</f>
        <v>0</v>
      </c>
      <c r="G45" s="18">
        <f>IF(C45&gt;=Plan!$C$6,ROUND(MIN(E45,SUM(J$6:J45)*Plan!$H$6),2),0)</f>
        <v>40839.73</v>
      </c>
      <c r="H45" s="18">
        <f>ROUND(MAX(0,E45+(F45-G45)/2)*Plan!$F$6,2)</f>
        <v>79463.17</v>
      </c>
      <c r="I45" s="18">
        <f>ROUND(MAX(0,E45+F45-G45+H45),2)</f>
        <v>1383429.55</v>
      </c>
      <c r="J45" s="18">
        <f>IF(C45=Plan!$C$6,E45,0)</f>
        <v>0</v>
      </c>
    </row>
    <row r="46" ht="17" customHeight="1" spans="2:10" x14ac:dyDescent="0.25">
      <c r="B46" s="15">
        <f>B45+1</f>
        <v>2066</v>
      </c>
      <c r="C46" s="16">
        <f>C45+1</f>
        <v>78</v>
      </c>
      <c r="D46" s="17" t="str">
        <f>IF(C46&lt;Plan!$C$6,"Saving","Retired")</f>
        <v>Retired</v>
      </c>
      <c r="E46" s="18">
        <f>I45</f>
        <v>1383429.55</v>
      </c>
      <c r="F46" s="18">
        <f>IF(C46&lt;Plan!$C$6,ROUND(Plan!$E$6*12*(1+Plan!$G$6)^(C46-Plan!$B$6),2),0)</f>
        <v>0</v>
      </c>
      <c r="G46" s="18">
        <f>IF(C46&gt;=Plan!$C$6,ROUND(MIN(E46,SUM(J$6:J46)*Plan!$H$6),2),0)</f>
        <v>40839.73</v>
      </c>
      <c r="H46" s="18">
        <f>ROUND(MAX(0,E46+(F46-G46)/2)*Plan!$F$6,2)</f>
        <v>81780.58</v>
      </c>
      <c r="I46" s="18">
        <f>ROUND(MAX(0,E46+F46-G46+H46),2)</f>
        <v>1424370.4</v>
      </c>
      <c r="J46" s="18">
        <f>IF(C46=Plan!$C$6,E46,0)</f>
        <v>0</v>
      </c>
    </row>
    <row r="47" ht="17" customHeight="1" spans="2:10" x14ac:dyDescent="0.25">
      <c r="B47" s="15">
        <f>B46+1</f>
        <v>2067</v>
      </c>
      <c r="C47" s="16">
        <f>C46+1</f>
        <v>79</v>
      </c>
      <c r="D47" s="17" t="str">
        <f>IF(C47&lt;Plan!$C$6,"Saving","Retired")</f>
        <v>Retired</v>
      </c>
      <c r="E47" s="18">
        <f>I46</f>
        <v>1424370.4</v>
      </c>
      <c r="F47" s="18">
        <f>IF(C47&lt;Plan!$C$6,ROUND(Plan!$E$6*12*(1+Plan!$G$6)^(C47-Plan!$B$6),2),0)</f>
        <v>0</v>
      </c>
      <c r="G47" s="18">
        <f>IF(C47&gt;=Plan!$C$6,ROUND(MIN(E47,SUM(J$6:J47)*Plan!$H$6),2),0)</f>
        <v>40839.73</v>
      </c>
      <c r="H47" s="18">
        <f>ROUND(MAX(0,E47+(F47-G47)/2)*Plan!$F$6,2)</f>
        <v>84237.03</v>
      </c>
      <c r="I47" s="18">
        <f>ROUND(MAX(0,E47+F47-G47+H47),2)</f>
        <v>1467767.7</v>
      </c>
      <c r="J47" s="18">
        <f>IF(C47=Plan!$C$6,E47,0)</f>
        <v>0</v>
      </c>
    </row>
    <row r="48" ht="17" customHeight="1" spans="2:10" x14ac:dyDescent="0.25">
      <c r="B48" s="15">
        <f>B47+1</f>
        <v>2068</v>
      </c>
      <c r="C48" s="16">
        <f>C47+1</f>
        <v>80</v>
      </c>
      <c r="D48" s="17" t="str">
        <f>IF(C48&lt;Plan!$C$6,"Saving","Retired")</f>
        <v>Retired</v>
      </c>
      <c r="E48" s="18">
        <f>I47</f>
        <v>1467767.7</v>
      </c>
      <c r="F48" s="18">
        <f>IF(C48&lt;Plan!$C$6,ROUND(Plan!$E$6*12*(1+Plan!$G$6)^(C48-Plan!$B$6),2),0)</f>
        <v>0</v>
      </c>
      <c r="G48" s="18">
        <f>IF(C48&gt;=Plan!$C$6,ROUND(MIN(E48,SUM(J$6:J48)*Plan!$H$6),2),0)</f>
        <v>40839.73</v>
      </c>
      <c r="H48" s="18">
        <f>ROUND(MAX(0,E48+(F48-G48)/2)*Plan!$F$6,2)</f>
        <v>86840.87</v>
      </c>
      <c r="I48" s="18">
        <f>ROUND(MAX(0,E48+F48-G48+H48),2)</f>
        <v>1513768.84</v>
      </c>
      <c r="J48" s="18">
        <f>IF(C48=Plan!$C$6,E48,0)</f>
        <v>0</v>
      </c>
    </row>
    <row r="49" ht="17" customHeight="1" spans="2:10" x14ac:dyDescent="0.25">
      <c r="B49" s="15">
        <f>B48+1</f>
        <v>2069</v>
      </c>
      <c r="C49" s="16">
        <f>C48+1</f>
        <v>81</v>
      </c>
      <c r="D49" s="17" t="str">
        <f>IF(C49&lt;Plan!$C$6,"Saving","Retired")</f>
        <v>Retired</v>
      </c>
      <c r="E49" s="18">
        <f>I48</f>
        <v>1513768.84</v>
      </c>
      <c r="F49" s="18">
        <f>IF(C49&lt;Plan!$C$6,ROUND(Plan!$E$6*12*(1+Plan!$G$6)^(C49-Plan!$B$6),2),0)</f>
        <v>0</v>
      </c>
      <c r="G49" s="18">
        <f>IF(C49&gt;=Plan!$C$6,ROUND(MIN(E49,SUM(J$6:J49)*Plan!$H$6),2),0)</f>
        <v>40839.73</v>
      </c>
      <c r="H49" s="18">
        <f>ROUND(MAX(0,E49+(F49-G49)/2)*Plan!$F$6,2)</f>
        <v>89600.94</v>
      </c>
      <c r="I49" s="18">
        <f>ROUND(MAX(0,E49+F49-G49+H49),2)</f>
        <v>1562530.05</v>
      </c>
      <c r="J49" s="18">
        <f>IF(C49=Plan!$C$6,E49,0)</f>
        <v>0</v>
      </c>
    </row>
    <row r="50" ht="17" customHeight="1" spans="2:10" x14ac:dyDescent="0.25">
      <c r="B50" s="15">
        <f>B49+1</f>
        <v>2070</v>
      </c>
      <c r="C50" s="16">
        <f>C49+1</f>
        <v>82</v>
      </c>
      <c r="D50" s="17" t="str">
        <f>IF(C50&lt;Plan!$C$6,"Saving","Retired")</f>
        <v>Retired</v>
      </c>
      <c r="E50" s="18">
        <f>I49</f>
        <v>1562530.05</v>
      </c>
      <c r="F50" s="18">
        <f>IF(C50&lt;Plan!$C$6,ROUND(Plan!$E$6*12*(1+Plan!$G$6)^(C50-Plan!$B$6),2),0)</f>
        <v>0</v>
      </c>
      <c r="G50" s="18">
        <f>IF(C50&gt;=Plan!$C$6,ROUND(MIN(E50,SUM(J$6:J50)*Plan!$H$6),2),0)</f>
        <v>40839.73</v>
      </c>
      <c r="H50" s="18">
        <f>ROUND(MAX(0,E50+(F50-G50)/2)*Plan!$F$6,2)</f>
        <v>92526.61</v>
      </c>
      <c r="I50" s="18">
        <f>ROUND(MAX(0,E50+F50-G50+H50),2)</f>
        <v>1614216.93</v>
      </c>
      <c r="J50" s="18">
        <f>IF(C50=Plan!$C$6,E50,0)</f>
        <v>0</v>
      </c>
    </row>
    <row r="51" ht="17" customHeight="1" spans="2:10" x14ac:dyDescent="0.25">
      <c r="B51" s="15">
        <f>B50+1</f>
        <v>2071</v>
      </c>
      <c r="C51" s="16">
        <f>C50+1</f>
        <v>83</v>
      </c>
      <c r="D51" s="17" t="str">
        <f>IF(C51&lt;Plan!$C$6,"Saving","Retired")</f>
        <v>Retired</v>
      </c>
      <c r="E51" s="18">
        <f>I50</f>
        <v>1614216.93</v>
      </c>
      <c r="F51" s="18">
        <f>IF(C51&lt;Plan!$C$6,ROUND(Plan!$E$6*12*(1+Plan!$G$6)^(C51-Plan!$B$6),2),0)</f>
        <v>0</v>
      </c>
      <c r="G51" s="18">
        <f>IF(C51&gt;=Plan!$C$6,ROUND(MIN(E51,SUM(J$6:J51)*Plan!$H$6),2),0)</f>
        <v>40839.73</v>
      </c>
      <c r="H51" s="18">
        <f>ROUND(MAX(0,E51+(F51-G51)/2)*Plan!$F$6,2)</f>
        <v>95627.82</v>
      </c>
      <c r="I51" s="18">
        <f>ROUND(MAX(0,E51+F51-G51+H51),2)</f>
        <v>1669005.02</v>
      </c>
      <c r="J51" s="18">
        <f>IF(C51=Plan!$C$6,E51,0)</f>
        <v>0</v>
      </c>
    </row>
    <row r="52" ht="17" customHeight="1" spans="2:10" x14ac:dyDescent="0.25">
      <c r="B52" s="15">
        <f>B51+1</f>
        <v>2072</v>
      </c>
      <c r="C52" s="16">
        <f>C51+1</f>
        <v>84</v>
      </c>
      <c r="D52" s="17" t="str">
        <f>IF(C52&lt;Plan!$C$6,"Saving","Retired")</f>
        <v>Retired</v>
      </c>
      <c r="E52" s="18">
        <f>I51</f>
        <v>1669005.02</v>
      </c>
      <c r="F52" s="18">
        <f>IF(C52&lt;Plan!$C$6,ROUND(Plan!$E$6*12*(1+Plan!$G$6)^(C52-Plan!$B$6),2),0)</f>
        <v>0</v>
      </c>
      <c r="G52" s="18">
        <f>IF(C52&gt;=Plan!$C$6,ROUND(MIN(E52,SUM(J$6:J52)*Plan!$H$6),2),0)</f>
        <v>40839.73</v>
      </c>
      <c r="H52" s="18">
        <f>ROUND(MAX(0,E52+(F52-G52)/2)*Plan!$F$6,2)</f>
        <v>98915.11</v>
      </c>
      <c r="I52" s="18">
        <f>ROUND(MAX(0,E52+F52-G52+H52),2)</f>
        <v>1727080.4</v>
      </c>
      <c r="J52" s="18">
        <f>IF(C52=Plan!$C$6,E52,0)</f>
        <v>0</v>
      </c>
    </row>
    <row r="53" ht="17" customHeight="1" spans="2:10" x14ac:dyDescent="0.25">
      <c r="B53" s="15">
        <f>B52+1</f>
        <v>2073</v>
      </c>
      <c r="C53" s="16">
        <f>C52+1</f>
        <v>85</v>
      </c>
      <c r="D53" s="17" t="str">
        <f>IF(C53&lt;Plan!$C$6,"Saving","Retired")</f>
        <v>Retired</v>
      </c>
      <c r="E53" s="18">
        <f>I52</f>
        <v>1727080.4</v>
      </c>
      <c r="F53" s="18">
        <f>IF(C53&lt;Plan!$C$6,ROUND(Plan!$E$6*12*(1+Plan!$G$6)^(C53-Plan!$B$6),2),0)</f>
        <v>0</v>
      </c>
      <c r="G53" s="18">
        <f>IF(C53&gt;=Plan!$C$6,ROUND(MIN(E53,SUM(J$6:J53)*Plan!$H$6),2),0)</f>
        <v>40839.73</v>
      </c>
      <c r="H53" s="18">
        <f>ROUND(MAX(0,E53+(F53-G53)/2)*Plan!$F$6,2)</f>
        <v>102399.63</v>
      </c>
      <c r="I53" s="18">
        <f>ROUND(MAX(0,E53+F53-G53+H53),2)</f>
        <v>1788640.3</v>
      </c>
      <c r="J53" s="18">
        <f>IF(C53=Plan!$C$6,E53,0)</f>
        <v>0</v>
      </c>
    </row>
    <row r="54" ht="17" customHeight="1" spans="2:10" x14ac:dyDescent="0.25">
      <c r="B54" s="15">
        <f>B53+1</f>
        <v>2074</v>
      </c>
      <c r="C54" s="16">
        <f>C53+1</f>
        <v>86</v>
      </c>
      <c r="D54" s="17" t="str">
        <f>IF(C54&lt;Plan!$C$6,"Saving","Retired")</f>
        <v>Retired</v>
      </c>
      <c r="E54" s="18">
        <f>I53</f>
        <v>1788640.3</v>
      </c>
      <c r="F54" s="18">
        <f>IF(C54&lt;Plan!$C$6,ROUND(Plan!$E$6*12*(1+Plan!$G$6)^(C54-Plan!$B$6),2),0)</f>
        <v>0</v>
      </c>
      <c r="G54" s="18">
        <f>IF(C54&gt;=Plan!$C$6,ROUND(MIN(E54,SUM(J$6:J54)*Plan!$H$6),2),0)</f>
        <v>40839.73</v>
      </c>
      <c r="H54" s="18">
        <f>ROUND(MAX(0,E54+(F54-G54)/2)*Plan!$F$6,2)</f>
        <v>106093.23</v>
      </c>
      <c r="I54" s="18">
        <f>ROUND(MAX(0,E54+F54-G54+H54),2)</f>
        <v>1853893.8</v>
      </c>
      <c r="J54" s="18">
        <f>IF(C54=Plan!$C$6,E54,0)</f>
        <v>0</v>
      </c>
    </row>
    <row r="55" ht="17" customHeight="1" spans="2:10" x14ac:dyDescent="0.25">
      <c r="B55" s="15">
        <f>B54+1</f>
        <v>2075</v>
      </c>
      <c r="C55" s="16">
        <f>C54+1</f>
        <v>87</v>
      </c>
      <c r="D55" s="17" t="str">
        <f>IF(C55&lt;Plan!$C$6,"Saving","Retired")</f>
        <v>Retired</v>
      </c>
      <c r="E55" s="18">
        <f>I54</f>
        <v>1853893.8</v>
      </c>
      <c r="F55" s="18">
        <f>IF(C55&lt;Plan!$C$6,ROUND(Plan!$E$6*12*(1+Plan!$G$6)^(C55-Plan!$B$6),2),0)</f>
        <v>0</v>
      </c>
      <c r="G55" s="18">
        <f>IF(C55&gt;=Plan!$C$6,ROUND(MIN(E55,SUM(J$6:J55)*Plan!$H$6),2),0)</f>
        <v>40839.73</v>
      </c>
      <c r="H55" s="18">
        <f>ROUND(MAX(0,E55+(F55-G55)/2)*Plan!$F$6,2)</f>
        <v>110008.44</v>
      </c>
      <c r="I55" s="18">
        <f>ROUND(MAX(0,E55+F55-G55+H55),2)</f>
        <v>1923062.51</v>
      </c>
      <c r="J55" s="18">
        <f>IF(C55=Plan!$C$6,E55,0)</f>
        <v>0</v>
      </c>
    </row>
    <row r="56" ht="17" customHeight="1" spans="2:10" x14ac:dyDescent="0.25">
      <c r="B56" s="15">
        <f>B55+1</f>
        <v>2076</v>
      </c>
      <c r="C56" s="16">
        <f>C55+1</f>
        <v>88</v>
      </c>
      <c r="D56" s="17" t="str">
        <f>IF(C56&lt;Plan!$C$6,"Saving","Retired")</f>
        <v>Retired</v>
      </c>
      <c r="E56" s="18">
        <f>I55</f>
        <v>1923062.51</v>
      </c>
      <c r="F56" s="18">
        <f>IF(C56&lt;Plan!$C$6,ROUND(Plan!$E$6*12*(1+Plan!$G$6)^(C56-Plan!$B$6),2),0)</f>
        <v>0</v>
      </c>
      <c r="G56" s="18">
        <f>IF(C56&gt;=Plan!$C$6,ROUND(MIN(E56,SUM(J$6:J56)*Plan!$H$6),2),0)</f>
        <v>40839.73</v>
      </c>
      <c r="H56" s="18">
        <f>ROUND(MAX(0,E56+(F56-G56)/2)*Plan!$F$6,2)</f>
        <v>114158.56</v>
      </c>
      <c r="I56" s="18">
        <f>ROUND(MAX(0,E56+F56-G56+H56),2)</f>
        <v>1996381.34</v>
      </c>
      <c r="J56" s="18">
        <f>IF(C56=Plan!$C$6,E56,0)</f>
        <v>0</v>
      </c>
    </row>
    <row r="57" ht="17" customHeight="1" spans="2:10" x14ac:dyDescent="0.25">
      <c r="B57" s="15">
        <f>B56+1</f>
        <v>2077</v>
      </c>
      <c r="C57" s="16">
        <f>C56+1</f>
        <v>89</v>
      </c>
      <c r="D57" s="17" t="str">
        <f>IF(C57&lt;Plan!$C$6,"Saving","Retired")</f>
        <v>Retired</v>
      </c>
      <c r="E57" s="18">
        <f>I56</f>
        <v>1996381.34</v>
      </c>
      <c r="F57" s="18">
        <f>IF(C57&lt;Plan!$C$6,ROUND(Plan!$E$6*12*(1+Plan!$G$6)^(C57-Plan!$B$6),2),0)</f>
        <v>0</v>
      </c>
      <c r="G57" s="18">
        <f>IF(C57&gt;=Plan!$C$6,ROUND(MIN(E57,SUM(J$6:J57)*Plan!$H$6),2),0)</f>
        <v>40839.73</v>
      </c>
      <c r="H57" s="18">
        <f>ROUND(MAX(0,E57+(F57-G57)/2)*Plan!$F$6,2)</f>
        <v>118557.69</v>
      </c>
      <c r="I57" s="18">
        <f>ROUND(MAX(0,E57+F57-G57+H57),2)</f>
        <v>2074099.3</v>
      </c>
      <c r="J57" s="18">
        <f>IF(C57=Plan!$C$6,E57,0)</f>
        <v>0</v>
      </c>
    </row>
    <row r="58" ht="17" customHeight="1" spans="2:10" x14ac:dyDescent="0.25">
      <c r="B58" s="15">
        <f>B57+1</f>
        <v>2078</v>
      </c>
      <c r="C58" s="16">
        <f>C57+1</f>
        <v>90</v>
      </c>
      <c r="D58" s="17" t="str">
        <f>IF(C58&lt;Plan!$C$6,"Saving","Retired")</f>
        <v>Retired</v>
      </c>
      <c r="E58" s="18">
        <f>I57</f>
        <v>2074099.3</v>
      </c>
      <c r="F58" s="18">
        <f>IF(C58&lt;Plan!$C$6,ROUND(Plan!$E$6*12*(1+Plan!$G$6)^(C58-Plan!$B$6),2),0)</f>
        <v>0</v>
      </c>
      <c r="G58" s="18">
        <f>IF(C58&gt;=Plan!$C$6,ROUND(MIN(E58,SUM(J$6:J58)*Plan!$H$6),2),0)</f>
        <v>40839.73</v>
      </c>
      <c r="H58" s="18">
        <f>ROUND(MAX(0,E58+(F58-G58)/2)*Plan!$F$6,2)</f>
        <v>123220.77</v>
      </c>
      <c r="I58" s="18">
        <f>ROUND(MAX(0,E58+F58-G58+H58),2)</f>
        <v>2156480.34</v>
      </c>
      <c r="J58" s="18">
        <f>IF(C58=Plan!$C$6,E58,0)</f>
        <v>0</v>
      </c>
    </row>
    <row r="59" ht="17" customHeight="1" spans="2:10" x14ac:dyDescent="0.25">
      <c r="B59" s="15">
        <f>B58+1</f>
        <v>2079</v>
      </c>
      <c r="C59" s="16">
        <f>C58+1</f>
        <v>91</v>
      </c>
      <c r="D59" s="17" t="str">
        <f>IF(C59&lt;Plan!$C$6,"Saving","Retired")</f>
        <v>Retired</v>
      </c>
      <c r="E59" s="18">
        <f>I58</f>
        <v>2156480.34</v>
      </c>
      <c r="F59" s="18">
        <f>IF(C59&lt;Plan!$C$6,ROUND(Plan!$E$6*12*(1+Plan!$G$6)^(C59-Plan!$B$6),2),0)</f>
        <v>0</v>
      </c>
      <c r="G59" s="18">
        <f>IF(C59&gt;=Plan!$C$6,ROUND(MIN(E59,SUM(J$6:J59)*Plan!$H$6),2),0)</f>
        <v>40839.73</v>
      </c>
      <c r="H59" s="18">
        <f>ROUND(MAX(0,E59+(F59-G59)/2)*Plan!$F$6,2)</f>
        <v>128163.63</v>
      </c>
      <c r="I59" s="18">
        <f>ROUND(MAX(0,E59+F59-G59+H59),2)</f>
        <v>2243804.24</v>
      </c>
      <c r="J59" s="18">
        <f>IF(C59=Plan!$C$6,E59,0)</f>
        <v>0</v>
      </c>
    </row>
    <row r="60" ht="17" customHeight="1" spans="2:10" x14ac:dyDescent="0.25">
      <c r="B60" s="15">
        <f>B59+1</f>
        <v>2080</v>
      </c>
      <c r="C60" s="16">
        <f>C59+1</f>
        <v>92</v>
      </c>
      <c r="D60" s="17" t="str">
        <f>IF(C60&lt;Plan!$C$6,"Saving","Retired")</f>
        <v>Retired</v>
      </c>
      <c r="E60" s="18">
        <f>I59</f>
        <v>2243804.24</v>
      </c>
      <c r="F60" s="18">
        <f>IF(C60&lt;Plan!$C$6,ROUND(Plan!$E$6*12*(1+Plan!$G$6)^(C60-Plan!$B$6),2),0)</f>
        <v>0</v>
      </c>
      <c r="G60" s="18">
        <f>IF(C60&gt;=Plan!$C$6,ROUND(MIN(E60,SUM(J$6:J60)*Plan!$H$6),2),0)</f>
        <v>40839.73</v>
      </c>
      <c r="H60" s="18">
        <f>ROUND(MAX(0,E60+(F60-G60)/2)*Plan!$F$6,2)</f>
        <v>133403.06</v>
      </c>
      <c r="I60" s="18">
        <f>ROUND(MAX(0,E60+F60-G60+H60),2)</f>
        <v>2336367.57</v>
      </c>
      <c r="J60" s="18">
        <f>IF(C60=Plan!$C$6,E60,0)</f>
        <v>0</v>
      </c>
    </row>
    <row r="61" ht="17" customHeight="1" spans="2:10" x14ac:dyDescent="0.25">
      <c r="B61" s="15">
        <f>B60+1</f>
        <v>2081</v>
      </c>
      <c r="C61" s="16">
        <f>C60+1</f>
        <v>93</v>
      </c>
      <c r="D61" s="17" t="str">
        <f>IF(C61&lt;Plan!$C$6,"Saving","Retired")</f>
        <v>Retired</v>
      </c>
      <c r="E61" s="18">
        <f>I60</f>
        <v>2336367.57</v>
      </c>
      <c r="F61" s="18">
        <f>IF(C61&lt;Plan!$C$6,ROUND(Plan!$E$6*12*(1+Plan!$G$6)^(C61-Plan!$B$6),2),0)</f>
        <v>0</v>
      </c>
      <c r="G61" s="18">
        <f>IF(C61&gt;=Plan!$C$6,ROUND(MIN(E61,SUM(J$6:J61)*Plan!$H$6),2),0)</f>
        <v>40839.73</v>
      </c>
      <c r="H61" s="18">
        <f>ROUND(MAX(0,E61+(F61-G61)/2)*Plan!$F$6,2)</f>
        <v>138956.86</v>
      </c>
      <c r="I61" s="18">
        <f>ROUND(MAX(0,E61+F61-G61+H61),2)</f>
        <v>2434484.7</v>
      </c>
      <c r="J61" s="18">
        <f>IF(C61=Plan!$C$6,E61,0)</f>
        <v>0</v>
      </c>
    </row>
    <row r="62" ht="17" customHeight="1" spans="2:10" x14ac:dyDescent="0.25">
      <c r="B62" s="15">
        <f>B61+1</f>
        <v>2082</v>
      </c>
      <c r="C62" s="16">
        <f>C61+1</f>
        <v>94</v>
      </c>
      <c r="D62" s="17" t="str">
        <f>IF(C62&lt;Plan!$C$6,"Saving","Retired")</f>
        <v>Retired</v>
      </c>
      <c r="E62" s="18">
        <f>I61</f>
        <v>2434484.7</v>
      </c>
      <c r="F62" s="18">
        <f>IF(C62&lt;Plan!$C$6,ROUND(Plan!$E$6*12*(1+Plan!$G$6)^(C62-Plan!$B$6),2),0)</f>
        <v>0</v>
      </c>
      <c r="G62" s="18">
        <f>IF(C62&gt;=Plan!$C$6,ROUND(MIN(E62,SUM(J$6:J62)*Plan!$H$6),2),0)</f>
        <v>40839.73</v>
      </c>
      <c r="H62" s="18">
        <f>ROUND(MAX(0,E62+(F62-G62)/2)*Plan!$F$6,2)</f>
        <v>144843.89</v>
      </c>
      <c r="I62" s="18">
        <f>ROUND(MAX(0,E62+F62-G62+H62),2)</f>
        <v>2538488.86</v>
      </c>
      <c r="J62" s="18">
        <f>IF(C62=Plan!$C$6,E62,0)</f>
        <v>0</v>
      </c>
    </row>
    <row r="63" ht="17" customHeight="1" spans="2:10" x14ac:dyDescent="0.25">
      <c r="B63" s="15">
        <f>B62+1</f>
        <v>2083</v>
      </c>
      <c r="C63" s="16">
        <f>C62+1</f>
        <v>95</v>
      </c>
      <c r="D63" s="17" t="str">
        <f>IF(C63&lt;Plan!$C$6,"Saving","Retired")</f>
        <v>Retired</v>
      </c>
      <c r="E63" s="18">
        <f>I62</f>
        <v>2538488.86</v>
      </c>
      <c r="F63" s="18">
        <f>IF(C63&lt;Plan!$C$6,ROUND(Plan!$E$6*12*(1+Plan!$G$6)^(C63-Plan!$B$6),2),0)</f>
        <v>0</v>
      </c>
      <c r="G63" s="18">
        <f>IF(C63&gt;=Plan!$C$6,ROUND(MIN(E63,SUM(J$6:J63)*Plan!$H$6),2),0)</f>
        <v>40839.73</v>
      </c>
      <c r="H63" s="18">
        <f>ROUND(MAX(0,E63+(F63-G63)/2)*Plan!$F$6,2)</f>
        <v>151084.14</v>
      </c>
      <c r="I63" s="18">
        <f>ROUND(MAX(0,E63+F63-G63+H63),2)</f>
        <v>2648733.27</v>
      </c>
      <c r="J63" s="18">
        <f>IF(C63=Plan!$C$6,E63,0)</f>
        <v>0</v>
      </c>
    </row>
    <row r="64" ht="17" customHeight="1" spans="2:10" x14ac:dyDescent="0.25">
      <c r="B64" s="15">
        <f>B63+1</f>
        <v>2084</v>
      </c>
      <c r="C64" s="16">
        <f>C63+1</f>
        <v>96</v>
      </c>
      <c r="D64" s="17" t="str">
        <f>IF(C64&lt;Plan!$C$6,"Saving","Retired")</f>
        <v>Retired</v>
      </c>
      <c r="E64" s="18">
        <f>I63</f>
        <v>2648733.27</v>
      </c>
      <c r="F64" s="18">
        <f>IF(C64&lt;Plan!$C$6,ROUND(Plan!$E$6*12*(1+Plan!$G$6)^(C64-Plan!$B$6),2),0)</f>
        <v>0</v>
      </c>
      <c r="G64" s="18">
        <f>IF(C64&gt;=Plan!$C$6,ROUND(MIN(E64,SUM(J$6:J64)*Plan!$H$6),2),0)</f>
        <v>40839.73</v>
      </c>
      <c r="H64" s="18">
        <f>ROUND(MAX(0,E64+(F64-G64)/2)*Plan!$F$6,2)</f>
        <v>157698.8</v>
      </c>
      <c r="I64" s="18">
        <f>ROUND(MAX(0,E64+F64-G64+H64),2)</f>
        <v>2765592.34</v>
      </c>
      <c r="J64" s="18">
        <f>IF(C64=Plan!$C$6,E64,0)</f>
        <v>0</v>
      </c>
    </row>
    <row r="65" ht="17" customHeight="1" spans="2:10" x14ac:dyDescent="0.25">
      <c r="B65" s="15">
        <f>B64+1</f>
        <v>2085</v>
      </c>
      <c r="C65" s="16">
        <f>C64+1</f>
        <v>97</v>
      </c>
      <c r="D65" s="17" t="str">
        <f>IF(C65&lt;Plan!$C$6,"Saving","Retired")</f>
        <v>Retired</v>
      </c>
      <c r="E65" s="18">
        <f>I64</f>
        <v>2765592.34</v>
      </c>
      <c r="F65" s="18">
        <f>IF(C65&lt;Plan!$C$6,ROUND(Plan!$E$6*12*(1+Plan!$G$6)^(C65-Plan!$B$6),2),0)</f>
        <v>0</v>
      </c>
      <c r="G65" s="18">
        <f>IF(C65&gt;=Plan!$C$6,ROUND(MIN(E65,SUM(J$6:J65)*Plan!$H$6),2),0)</f>
        <v>40839.73</v>
      </c>
      <c r="H65" s="18">
        <f>ROUND(MAX(0,E65+(F65-G65)/2)*Plan!$F$6,2)</f>
        <v>164710.35</v>
      </c>
      <c r="I65" s="18">
        <f>ROUND(MAX(0,E65+F65-G65+H65),2)</f>
        <v>2889462.96</v>
      </c>
      <c r="J65" s="18">
        <f>IF(C65=Plan!$C$6,E65,0)</f>
        <v>0</v>
      </c>
    </row>
    <row r="66" ht="17" customHeight="1" spans="2:10" x14ac:dyDescent="0.25">
      <c r="B66" s="15">
        <f>B65+1</f>
        <v>2086</v>
      </c>
      <c r="C66" s="16">
        <f>C65+1</f>
        <v>98</v>
      </c>
      <c r="D66" s="17" t="str">
        <f>IF(C66&lt;Plan!$C$6,"Saving","Retired")</f>
        <v>Retired</v>
      </c>
      <c r="E66" s="18">
        <f>I65</f>
        <v>2889462.96</v>
      </c>
      <c r="F66" s="18">
        <f>IF(C66&lt;Plan!$C$6,ROUND(Plan!$E$6*12*(1+Plan!$G$6)^(C66-Plan!$B$6),2),0)</f>
        <v>0</v>
      </c>
      <c r="G66" s="18">
        <f>IF(C66&gt;=Plan!$C$6,ROUND(MIN(E66,SUM(J$6:J66)*Plan!$H$6),2),0)</f>
        <v>40839.73</v>
      </c>
      <c r="H66" s="18">
        <f>ROUND(MAX(0,E66+(F66-G66)/2)*Plan!$F$6,2)</f>
        <v>172142.59</v>
      </c>
      <c r="I66" s="18">
        <f>ROUND(MAX(0,E66+F66-G66+H66),2)</f>
        <v>3020765.82</v>
      </c>
      <c r="J66" s="18">
        <f>IF(C66=Plan!$C$6,E66,0)</f>
        <v>0</v>
      </c>
    </row>
    <row r="67" ht="17" customHeight="1" spans="2:10" x14ac:dyDescent="0.25">
      <c r="B67" s="15">
        <f>B66+1</f>
        <v>2087</v>
      </c>
      <c r="C67" s="16">
        <f>C66+1</f>
        <v>99</v>
      </c>
      <c r="D67" s="17" t="str">
        <f>IF(C67&lt;Plan!$C$6,"Saving","Retired")</f>
        <v>Retired</v>
      </c>
      <c r="E67" s="18">
        <f>I66</f>
        <v>3020765.82</v>
      </c>
      <c r="F67" s="18">
        <f>IF(C67&lt;Plan!$C$6,ROUND(Plan!$E$6*12*(1+Plan!$G$6)^(C67-Plan!$B$6),2),0)</f>
        <v>0</v>
      </c>
      <c r="G67" s="18">
        <f>IF(C67&gt;=Plan!$C$6,ROUND(MIN(E67,SUM(J$6:J67)*Plan!$H$6),2),0)</f>
        <v>40839.73</v>
      </c>
      <c r="H67" s="18">
        <f>ROUND(MAX(0,E67+(F67-G67)/2)*Plan!$F$6,2)</f>
        <v>180020.76</v>
      </c>
      <c r="I67" s="18">
        <f>ROUND(MAX(0,E67+F67-G67+H67),2)</f>
        <v>3159946.85</v>
      </c>
      <c r="J67" s="18">
        <f>IF(C67=Plan!$C$6,E67,0)</f>
        <v>0</v>
      </c>
    </row>
    <row r="68" ht="17" customHeight="1" spans="2:10" x14ac:dyDescent="0.25">
      <c r="B68" s="15">
        <f>B67+1</f>
        <v>2088</v>
      </c>
      <c r="C68" s="16">
        <f>C67+1</f>
        <v>100</v>
      </c>
      <c r="D68" s="17" t="str">
        <f>IF(C68&lt;Plan!$C$6,"Saving","Retired")</f>
        <v>Retired</v>
      </c>
      <c r="E68" s="18">
        <f>I67</f>
        <v>3159946.85</v>
      </c>
      <c r="F68" s="18">
        <f>IF(C68&lt;Plan!$C$6,ROUND(Plan!$E$6*12*(1+Plan!$G$6)^(C68-Plan!$B$6),2),0)</f>
        <v>0</v>
      </c>
      <c r="G68" s="18">
        <f>IF(C68&gt;=Plan!$C$6,ROUND(MIN(E68,SUM(J$6:J68)*Plan!$H$6),2),0)</f>
        <v>40839.73</v>
      </c>
      <c r="H68" s="18">
        <f>ROUND(MAX(0,E68+(F68-G68)/2)*Plan!$F$6,2)</f>
        <v>188371.62</v>
      </c>
      <c r="I68" s="18">
        <f>ROUND(MAX(0,E68+F68-G68+H68),2)</f>
        <v>3307478.74</v>
      </c>
      <c r="J68" s="18">
        <f>IF(C68=Plan!$C$6,E68,0)</f>
        <v>0</v>
      </c>
    </row>
    <row r="69" ht="17" customHeight="1" spans="2:10" x14ac:dyDescent="0.25">
      <c r="B69" s="15">
        <f>B68+1</f>
        <v>2089</v>
      </c>
      <c r="C69" s="16">
        <f>C68+1</f>
        <v>101</v>
      </c>
      <c r="D69" s="17" t="str">
        <f>IF(C69&lt;Plan!$C$6,"Saving","Retired")</f>
        <v>Retired</v>
      </c>
      <c r="E69" s="18">
        <f>I68</f>
        <v>3307478.74</v>
      </c>
      <c r="F69" s="18">
        <f>IF(C69&lt;Plan!$C$6,ROUND(Plan!$E$6*12*(1+Plan!$G$6)^(C69-Plan!$B$6),2),0)</f>
        <v>0</v>
      </c>
      <c r="G69" s="18">
        <f>IF(C69&gt;=Plan!$C$6,ROUND(MIN(E69,SUM(J$6:J69)*Plan!$H$6),2),0)</f>
        <v>40839.73</v>
      </c>
      <c r="H69" s="18">
        <f>ROUND(MAX(0,E69+(F69-G69)/2)*Plan!$F$6,2)</f>
        <v>197223.53</v>
      </c>
      <c r="I69" s="18">
        <f>ROUND(MAX(0,E69+F69-G69+H69),2)</f>
        <v>3463862.54</v>
      </c>
      <c r="J69" s="18">
        <f>IF(C69=Plan!$C$6,E69,0)</f>
        <v>0</v>
      </c>
    </row>
    <row r="70" ht="17" customHeight="1" spans="2:10" x14ac:dyDescent="0.25">
      <c r="B70" s="15">
        <f>B69+1</f>
        <v>2090</v>
      </c>
      <c r="C70" s="16">
        <f>C69+1</f>
        <v>102</v>
      </c>
      <c r="D70" s="17" t="str">
        <f>IF(C70&lt;Plan!$C$6,"Saving","Retired")</f>
        <v>Retired</v>
      </c>
      <c r="E70" s="18">
        <f>I69</f>
        <v>3463862.54</v>
      </c>
      <c r="F70" s="18">
        <f>IF(C70&lt;Plan!$C$6,ROUND(Plan!$E$6*12*(1+Plan!$G$6)^(C70-Plan!$B$6),2),0)</f>
        <v>0</v>
      </c>
      <c r="G70" s="18">
        <f>IF(C70&gt;=Plan!$C$6,ROUND(MIN(E70,SUM(J$6:J70)*Plan!$H$6),2),0)</f>
        <v>40839.73</v>
      </c>
      <c r="H70" s="18">
        <f>ROUND(MAX(0,E70+(F70-G70)/2)*Plan!$F$6,2)</f>
        <v>206606.56</v>
      </c>
      <c r="I70" s="18">
        <f>ROUND(MAX(0,E70+F70-G70+H70),2)</f>
        <v>3629629.37</v>
      </c>
      <c r="J70" s="18">
        <f>IF(C70=Plan!$C$6,E70,0)</f>
        <v>0</v>
      </c>
    </row>
    <row r="71" ht="17" customHeight="1" spans="2:10" x14ac:dyDescent="0.25">
      <c r="B71" s="15">
        <f>B70+1</f>
        <v>2091</v>
      </c>
      <c r="C71" s="16">
        <f>C70+1</f>
        <v>103</v>
      </c>
      <c r="D71" s="17" t="str">
        <f>IF(C71&lt;Plan!$C$6,"Saving","Retired")</f>
        <v>Retired</v>
      </c>
      <c r="E71" s="18">
        <f>I70</f>
        <v>3629629.37</v>
      </c>
      <c r="F71" s="18">
        <f>IF(C71&lt;Plan!$C$6,ROUND(Plan!$E$6*12*(1+Plan!$G$6)^(C71-Plan!$B$6),2),0)</f>
        <v>0</v>
      </c>
      <c r="G71" s="18">
        <f>IF(C71&gt;=Plan!$C$6,ROUND(MIN(E71,SUM(J$6:J71)*Plan!$H$6),2),0)</f>
        <v>40839.73</v>
      </c>
      <c r="H71" s="18">
        <f>ROUND(MAX(0,E71+(F71-G71)/2)*Plan!$F$6,2)</f>
        <v>216552.57</v>
      </c>
      <c r="I71" s="18">
        <f>ROUND(MAX(0,E71+F71-G71+H71),2)</f>
        <v>3805342.21</v>
      </c>
      <c r="J71" s="18">
        <f>IF(C71=Plan!$C$6,E71,0)</f>
        <v>0</v>
      </c>
    </row>
  </sheetData>
  <mergeCells count="3">
    <mergeCell ref="H1:J1"/>
    <mergeCell ref="B2:G2"/>
    <mergeCell ref="H2:J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8" customWidth="1"/>
    <col min="3" max="3" width="18" customWidth="1"/>
    <col min="4" max="6" width="12" customWidth="1"/>
  </cols>
  <sheetData>
    <row r="1" ht="34" customHeight="1" spans="2:6" x14ac:dyDescent="0.25">
      <c r="B1" s="1" t="s">
        <v>23</v>
      </c>
      <c r="D1" s="2" t="s">
        <v>1</v>
      </c>
      <c r="E1" s="2"/>
      <c r="F1" s="2"/>
    </row>
    <row r="2" ht="28" customHeight="1" spans="2:6" x14ac:dyDescent="0.25">
      <c r="B2" s="3" t="s">
        <v>13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14" t="s">
        <v>24</v>
      </c>
      <c r="C5" s="8" t="s">
        <v>25</v>
      </c>
    </row>
    <row r="6" ht="17" customHeight="1" spans="2:3" x14ac:dyDescent="0.25">
      <c r="B6" s="19" t="s">
        <v>26</v>
      </c>
      <c r="C6" s="16">
        <f>MAX(0,Plan!C6-Plan!B6)</f>
        <v>27</v>
      </c>
    </row>
    <row r="7" ht="17" customHeight="1" spans="2:3" x14ac:dyDescent="0.25">
      <c r="B7" s="19" t="s">
        <v>27</v>
      </c>
      <c r="C7" s="17">
        <f>Plan!I6+C6</f>
        <v>2053</v>
      </c>
    </row>
    <row r="8" ht="17" customHeight="1" spans="2:3" x14ac:dyDescent="0.25">
      <c r="B8" s="19" t="s">
        <v>28</v>
      </c>
      <c r="C8" s="18">
        <f>SUM(Projection!J6:J71)</f>
        <v>1020993.17</v>
      </c>
    </row>
    <row r="9" ht="17" customHeight="1" spans="2:3" x14ac:dyDescent="0.25">
      <c r="B9" s="19" t="s">
        <v>29</v>
      </c>
      <c r="C9" s="18">
        <f>Plan!D6+SUM(Projection!F6:F71)</f>
        <v>380098.92000000004</v>
      </c>
    </row>
    <row r="10" ht="17" customHeight="1" spans="2:3" x14ac:dyDescent="0.25">
      <c r="B10" s="19" t="s">
        <v>30</v>
      </c>
      <c r="C10" s="18">
        <f>C8-C9</f>
        <v>640894.25</v>
      </c>
    </row>
    <row r="11" ht="17" customHeight="1" spans="2:3" x14ac:dyDescent="0.25">
      <c r="B11" s="19" t="s">
        <v>31</v>
      </c>
      <c r="C11" s="20">
        <f>IF(C8=0,0,C10/C8)</f>
        <v>0.6277164909927849</v>
      </c>
    </row>
    <row r="12" ht="17" customHeight="1" spans="2:3" x14ac:dyDescent="0.25">
      <c r="B12" s="19" t="s">
        <v>32</v>
      </c>
      <c r="C12" s="18">
        <f>ROUND(C8*Plan!H6,2)</f>
        <v>40839.73</v>
      </c>
    </row>
    <row r="13" ht="17" customHeight="1" spans="2:3" x14ac:dyDescent="0.25">
      <c r="B13" s="19" t="s">
        <v>33</v>
      </c>
      <c r="C13" s="18">
        <f>ROUND(C12/12,2)</f>
        <v>3403.31</v>
      </c>
    </row>
    <row r="14" ht="17" customHeight="1" spans="2:3" x14ac:dyDescent="0.25">
      <c r="B14" s="19" t="s">
        <v>34</v>
      </c>
      <c r="C14" s="16" t="str">
        <f>IF(COUNTIFS(Projection!I6:I71,"&gt;0")&gt;=66,"Past "&amp;Projection!C71,Projection!C6+COUNTIFS(Projection!I6:I71,"&gt;0"))</f>
        <v>Past 103</v>
      </c>
    </row>
    <row r="15" ht="17" customHeight="1" spans="2:3" x14ac:dyDescent="0.25">
      <c r="B15" s="19" t="s">
        <v>35</v>
      </c>
      <c r="C15" s="18">
        <f>IFERROR(VLOOKUP(90,Projection!C6:I71,7,FALSE),0)</f>
        <v>2156480.34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Projection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Retirement Plan</dc:title>
  <dc:subject/>
  <dc:description/>
  <cp:keywords/>
  <cp:category/>
  <cp:lastModifiedBy>Unknown</cp:lastModifiedBy>
  <dcterms:created xsi:type="dcterms:W3CDTF">2026-10-19T11:59:01Z</dcterms:created>
  <dcterms:modified xsi:type="dcterms:W3CDTF">2026-10-19T11:59:01Z</dcterms:modified>
</cp:coreProperties>
</file>