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 Log" state="visible" r:id="rId4"/>
    <sheet sheetId="2" name="Monthly Totals" state="visible" r:id="rId5"/>
    <sheet sheetId="3" name="Top Sellers" state="visible" r:id="rId6"/>
    <sheet sheetId="4" name="Products" state="visible" r:id="rId7"/>
    <sheet sheetId="5" name="By Rep and Channel" state="visible" r:id="rId8"/>
  </sheets>
  <calcPr calcId="171027"/>
</workbook>
</file>

<file path=xl/sharedStrings.xml><?xml version="1.0" encoding="utf-8"?>
<sst xmlns="http://schemas.openxmlformats.org/spreadsheetml/2006/main" count="167" uniqueCount="55">
  <si>
    <t>Date</t>
  </si>
  <si>
    <t>Customer</t>
  </si>
  <si>
    <t>Channel</t>
  </si>
  <si>
    <t>Rep</t>
  </si>
  <si>
    <t>Product</t>
  </si>
  <si>
    <t>Qty</t>
  </si>
  <si>
    <t>Unit price</t>
  </si>
  <si>
    <t>Discount</t>
  </si>
  <si>
    <t>Total</t>
  </si>
  <si>
    <t>Bean There Cafe</t>
  </si>
  <si>
    <t>Wholesale</t>
  </si>
  <si>
    <t>Sara Patel</t>
  </si>
  <si>
    <t>House Blend, 5 lb bag</t>
  </si>
  <si>
    <t>Hilltop Bagels</t>
  </si>
  <si>
    <t>Tom Brooks</t>
  </si>
  <si>
    <t>Online store</t>
  </si>
  <si>
    <t>Online</t>
  </si>
  <si>
    <t>Lena Ortiz</t>
  </si>
  <si>
    <t>Ethiopia Yirgacheffe, 12 oz</t>
  </si>
  <si>
    <t>Saturday market</t>
  </si>
  <si>
    <t>Market</t>
  </si>
  <si>
    <t>Breakfast Blend, 12 oz</t>
  </si>
  <si>
    <t>Union Street Bakery</t>
  </si>
  <si>
    <t>Espresso Roast, 5 lb bag</t>
  </si>
  <si>
    <t>Northside Diner</t>
  </si>
  <si>
    <t>Cafe mugs, case of 12</t>
  </si>
  <si>
    <t>Cold Brew Pack, 4 pouches</t>
  </si>
  <si>
    <t>Maple Corner Deli</t>
  </si>
  <si>
    <t>Decaf Colombia, 5 lb bag</t>
  </si>
  <si>
    <t>Paper filters, case of 500</t>
  </si>
  <si>
    <t>Month</t>
  </si>
  <si>
    <t>Sales</t>
  </si>
  <si>
    <t>Units</t>
  </si>
  <si>
    <t>Revenue</t>
  </si>
  <si>
    <t>Average sale</t>
  </si>
  <si>
    <t>Retail and online</t>
  </si>
  <si>
    <t>vs last month</t>
  </si>
  <si>
    <t>Quarter total</t>
  </si>
  <si>
    <t>Rank</t>
  </si>
  <si>
    <t>Units sold</t>
  </si>
  <si>
    <t>Share</t>
  </si>
  <si>
    <t>SKU</t>
  </si>
  <si>
    <t>Price</t>
  </si>
  <si>
    <t>Rank key</t>
  </si>
  <si>
    <t>Name key</t>
  </si>
  <si>
    <t>HB-5</t>
  </si>
  <si>
    <t>ES-5</t>
  </si>
  <si>
    <t>DC-5</t>
  </si>
  <si>
    <t>ET-12</t>
  </si>
  <si>
    <t>BB-12</t>
  </si>
  <si>
    <t>CB-4</t>
  </si>
  <si>
    <t>MUG-12</t>
  </si>
  <si>
    <t>FLT-500</t>
  </si>
  <si>
    <t>Name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</si>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</sst>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#,##0.##"/>
    <numFmt numFmtId="166" formatCode="&quot;$&quot;#,##0.00"/>
    <numFmt numFmtId="167" formatCode="0.0%"/>
    <numFmt numFmtId="168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1" customWidth="1"/>
    <col min="4" max="4" width="12" customWidth="1"/>
    <col min="5" max="5" width="28" customWidth="1"/>
    <col min="6" max="6" width="6" customWidth="1"/>
    <col min="7" max="7" width="11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46205</v>
      </c>
      <c r="B2" t="s">
        <v>9</v>
      </c>
      <c r="C2" t="s">
        <v>10</v>
      </c>
      <c r="D2" t="s">
        <v>11</v>
      </c>
      <c r="E2" t="s">
        <v>12</v>
      </c>
      <c r="F2" s="3">
        <v>6</v>
      </c>
      <c r="G2" s="4">
        <f>IFERROR(VLOOKUP(E2,Products!$A$2:$C$50,3,FALSE),0)</f>
        <v>52</v>
      </c>
      <c r="H2" s="5">
        <f>0</f>
        <v>0</v>
      </c>
      <c r="I2" s="4">
        <f>ROUND(F2*G2*(1-H2),2)</f>
        <v>312</v>
      </c>
    </row>
    <row r="3" spans="1:9" x14ac:dyDescent="0.25">
      <c r="A3" s="2">
        <v>46206</v>
      </c>
      <c r="B3" t="s">
        <v>13</v>
      </c>
      <c r="C3" t="s">
        <v>10</v>
      </c>
      <c r="D3" t="s">
        <v>14</v>
      </c>
      <c r="E3" t="s">
        <v>12</v>
      </c>
      <c r="F3" s="3">
        <v>4</v>
      </c>
      <c r="G3" s="4">
        <f>IFERROR(VLOOKUP(E3,Products!$A$2:$C$50,3,FALSE),0)</f>
        <v>52</v>
      </c>
      <c r="H3" s="5">
        <f>0</f>
        <v>0</v>
      </c>
      <c r="I3" s="4">
        <f>ROUND(F3*G3*(1-H3),2)</f>
        <v>208</v>
      </c>
    </row>
    <row r="4" spans="1:9" x14ac:dyDescent="0.25">
      <c r="A4" s="2">
        <v>46209</v>
      </c>
      <c r="B4" t="s">
        <v>15</v>
      </c>
      <c r="C4" t="s">
        <v>16</v>
      </c>
      <c r="D4" t="s">
        <v>17</v>
      </c>
      <c r="E4" t="s">
        <v>18</v>
      </c>
      <c r="F4" s="3">
        <v>14</v>
      </c>
      <c r="G4" s="4">
        <f>IFERROR(VLOOKUP(E4,Products!$A$2:$C$50,3,FALSE),0)</f>
        <v>18</v>
      </c>
      <c r="H4" s="5">
        <f>0</f>
        <v>0</v>
      </c>
      <c r="I4" s="4">
        <f>ROUND(F4*G4*(1-H4),2)</f>
        <v>252</v>
      </c>
    </row>
    <row r="5" spans="1:9" x14ac:dyDescent="0.25">
      <c r="A5" s="2">
        <v>46214</v>
      </c>
      <c r="B5" t="s">
        <v>19</v>
      </c>
      <c r="C5" t="s">
        <v>20</v>
      </c>
      <c r="D5" t="s">
        <v>17</v>
      </c>
      <c r="E5" t="s">
        <v>21</v>
      </c>
      <c r="F5" s="3">
        <v>22</v>
      </c>
      <c r="G5" s="4">
        <f>IFERROR(VLOOKUP(E5,Products!$A$2:$C$50,3,FALSE),0)</f>
        <v>14</v>
      </c>
      <c r="H5" s="5">
        <f>0</f>
        <v>0</v>
      </c>
      <c r="I5" s="4">
        <f>ROUND(F5*G5*(1-H5),2)</f>
        <v>308</v>
      </c>
    </row>
    <row r="6" spans="1:9" x14ac:dyDescent="0.25">
      <c r="A6" s="2">
        <v>46218</v>
      </c>
      <c r="B6" t="s">
        <v>22</v>
      </c>
      <c r="C6" t="s">
        <v>10</v>
      </c>
      <c r="D6" t="s">
        <v>11</v>
      </c>
      <c r="E6" t="s">
        <v>23</v>
      </c>
      <c r="F6" s="3">
        <v>5</v>
      </c>
      <c r="G6" s="4">
        <f>IFERROR(VLOOKUP(E6,Products!$A$2:$C$50,3,FALSE),0)</f>
        <v>56</v>
      </c>
      <c r="H6" s="5">
        <f>0</f>
        <v>0</v>
      </c>
      <c r="I6" s="4">
        <f>ROUND(F6*G6*(1-H6),2)</f>
        <v>280</v>
      </c>
    </row>
    <row r="7" spans="1:9" x14ac:dyDescent="0.25">
      <c r="A7" s="2">
        <v>46221</v>
      </c>
      <c r="B7" t="s">
        <v>24</v>
      </c>
      <c r="C7" t="s">
        <v>10</v>
      </c>
      <c r="D7" t="s">
        <v>14</v>
      </c>
      <c r="E7" t="s">
        <v>12</v>
      </c>
      <c r="F7" s="3">
        <v>8</v>
      </c>
      <c r="G7" s="4">
        <f>IFERROR(VLOOKUP(E7,Products!$A$2:$C$50,3,FALSE),0)</f>
        <v>52</v>
      </c>
      <c r="H7" s="5">
        <f>0.1</f>
        <v>0.1</v>
      </c>
      <c r="I7" s="4">
        <f>ROUND(F7*G7*(1-H7),2)</f>
        <v>374.4</v>
      </c>
    </row>
    <row r="8" spans="1:9" x14ac:dyDescent="0.25">
      <c r="A8" s="2">
        <v>46225</v>
      </c>
      <c r="B8" t="s">
        <v>9</v>
      </c>
      <c r="C8" t="s">
        <v>10</v>
      </c>
      <c r="D8" t="s">
        <v>11</v>
      </c>
      <c r="E8" t="s">
        <v>25</v>
      </c>
      <c r="F8" s="3">
        <v>2</v>
      </c>
      <c r="G8" s="4">
        <f>IFERROR(VLOOKUP(E8,Products!$A$2:$C$50,3,FALSE),0)</f>
        <v>96</v>
      </c>
      <c r="H8" s="5">
        <f>0</f>
        <v>0</v>
      </c>
      <c r="I8" s="4">
        <f>ROUND(F8*G8*(1-H8),2)</f>
        <v>192</v>
      </c>
    </row>
    <row r="9" spans="1:9" x14ac:dyDescent="0.25">
      <c r="A9" s="2">
        <v>46230</v>
      </c>
      <c r="B9" t="s">
        <v>15</v>
      </c>
      <c r="C9" t="s">
        <v>16</v>
      </c>
      <c r="D9" t="s">
        <v>17</v>
      </c>
      <c r="E9" t="s">
        <v>26</v>
      </c>
      <c r="F9" s="3">
        <v>18</v>
      </c>
      <c r="G9" s="4">
        <f>IFERROR(VLOOKUP(E9,Products!$A$2:$C$50,3,FALSE),0)</f>
        <v>22</v>
      </c>
      <c r="H9" s="5">
        <f>0</f>
        <v>0</v>
      </c>
      <c r="I9" s="4">
        <f>ROUND(F9*G9*(1-H9),2)</f>
        <v>396</v>
      </c>
    </row>
    <row r="10" spans="1:9" x14ac:dyDescent="0.25">
      <c r="A10" s="2">
        <v>46235</v>
      </c>
      <c r="B10" t="s">
        <v>9</v>
      </c>
      <c r="C10" t="s">
        <v>10</v>
      </c>
      <c r="D10" t="s">
        <v>11</v>
      </c>
      <c r="E10" t="s">
        <v>23</v>
      </c>
      <c r="F10" s="3">
        <v>6</v>
      </c>
      <c r="G10" s="4">
        <f>IFERROR(VLOOKUP(E10,Products!$A$2:$C$50,3,FALSE),0)</f>
        <v>56</v>
      </c>
      <c r="H10" s="5">
        <f>0</f>
        <v>0</v>
      </c>
      <c r="I10" s="4">
        <f>ROUND(F10*G10*(1-H10),2)</f>
        <v>336</v>
      </c>
    </row>
    <row r="11" spans="1:9" x14ac:dyDescent="0.25">
      <c r="A11" s="2">
        <v>46238</v>
      </c>
      <c r="B11" t="s">
        <v>27</v>
      </c>
      <c r="C11" t="s">
        <v>10</v>
      </c>
      <c r="D11" t="s">
        <v>14</v>
      </c>
      <c r="E11" t="s">
        <v>12</v>
      </c>
      <c r="F11" s="3">
        <v>3</v>
      </c>
      <c r="G11" s="4">
        <f>IFERROR(VLOOKUP(E11,Products!$A$2:$C$50,3,FALSE),0)</f>
        <v>52</v>
      </c>
      <c r="H11" s="5">
        <f>0</f>
        <v>0</v>
      </c>
      <c r="I11" s="4">
        <f>ROUND(F11*G11*(1-H11),2)</f>
        <v>156</v>
      </c>
    </row>
    <row r="12" spans="1:9" x14ac:dyDescent="0.25">
      <c r="A12" s="2">
        <v>46242</v>
      </c>
      <c r="B12" t="s">
        <v>19</v>
      </c>
      <c r="C12" t="s">
        <v>20</v>
      </c>
      <c r="D12" t="s">
        <v>17</v>
      </c>
      <c r="E12" t="s">
        <v>26</v>
      </c>
      <c r="F12" s="3">
        <v>26</v>
      </c>
      <c r="G12" s="4">
        <f>IFERROR(VLOOKUP(E12,Products!$A$2:$C$50,3,FALSE),0)</f>
        <v>22</v>
      </c>
      <c r="H12" s="5">
        <f>0</f>
        <v>0</v>
      </c>
      <c r="I12" s="4">
        <f>ROUND(F12*G12*(1-H12),2)</f>
        <v>572</v>
      </c>
    </row>
    <row r="13" spans="1:9" x14ac:dyDescent="0.25">
      <c r="A13" s="2">
        <v>46246</v>
      </c>
      <c r="B13" t="s">
        <v>13</v>
      </c>
      <c r="C13" t="s">
        <v>10</v>
      </c>
      <c r="D13" t="s">
        <v>14</v>
      </c>
      <c r="E13" t="s">
        <v>28</v>
      </c>
      <c r="F13" s="3">
        <v>2</v>
      </c>
      <c r="G13" s="4">
        <f>IFERROR(VLOOKUP(E13,Products!$A$2:$C$50,3,FALSE),0)</f>
        <v>58</v>
      </c>
      <c r="H13" s="5">
        <f>0</f>
        <v>0</v>
      </c>
      <c r="I13" s="4">
        <f>ROUND(F13*G13*(1-H13),2)</f>
        <v>116</v>
      </c>
    </row>
    <row r="14" spans="1:9" x14ac:dyDescent="0.25">
      <c r="A14" s="2">
        <v>46248</v>
      </c>
      <c r="B14" t="s">
        <v>15</v>
      </c>
      <c r="C14" t="s">
        <v>16</v>
      </c>
      <c r="D14" t="s">
        <v>17</v>
      </c>
      <c r="E14" t="s">
        <v>18</v>
      </c>
      <c r="F14" s="3">
        <v>19</v>
      </c>
      <c r="G14" s="4">
        <f>IFERROR(VLOOKUP(E14,Products!$A$2:$C$50,3,FALSE),0)</f>
        <v>18</v>
      </c>
      <c r="H14" s="5">
        <f>0.15</f>
        <v>0.15</v>
      </c>
      <c r="I14" s="4">
        <f>ROUND(F14*G14*(1-H14),2)</f>
        <v>290.7</v>
      </c>
    </row>
    <row r="15" spans="1:9" x14ac:dyDescent="0.25">
      <c r="A15" s="2">
        <v>46253</v>
      </c>
      <c r="B15" t="s">
        <v>22</v>
      </c>
      <c r="C15" t="s">
        <v>10</v>
      </c>
      <c r="D15" t="s">
        <v>11</v>
      </c>
      <c r="E15" t="s">
        <v>12</v>
      </c>
      <c r="F15" s="3">
        <v>5</v>
      </c>
      <c r="G15" s="4">
        <f>IFERROR(VLOOKUP(E15,Products!$A$2:$C$50,3,FALSE),0)</f>
        <v>52</v>
      </c>
      <c r="H15" s="5">
        <f>0</f>
        <v>0</v>
      </c>
      <c r="I15" s="4">
        <f>ROUND(F15*G15*(1-H15),2)</f>
        <v>260</v>
      </c>
    </row>
    <row r="16" spans="1:9" x14ac:dyDescent="0.25">
      <c r="A16" s="2">
        <v>46255</v>
      </c>
      <c r="B16" t="s">
        <v>24</v>
      </c>
      <c r="C16" t="s">
        <v>10</v>
      </c>
      <c r="D16" t="s">
        <v>14</v>
      </c>
      <c r="E16" t="s">
        <v>12</v>
      </c>
      <c r="F16" s="3">
        <v>8</v>
      </c>
      <c r="G16" s="4">
        <f>IFERROR(VLOOKUP(E16,Products!$A$2:$C$50,3,FALSE),0)</f>
        <v>52</v>
      </c>
      <c r="H16" s="5">
        <f>0.1</f>
        <v>0.1</v>
      </c>
      <c r="I16" s="4">
        <f>ROUND(F16*G16*(1-H16),2)</f>
        <v>374.4</v>
      </c>
    </row>
    <row r="17" spans="1:9" x14ac:dyDescent="0.25">
      <c r="A17" s="2">
        <v>46260</v>
      </c>
      <c r="B17" t="s">
        <v>22</v>
      </c>
      <c r="C17" t="s">
        <v>10</v>
      </c>
      <c r="D17" t="s">
        <v>11</v>
      </c>
      <c r="E17" t="s">
        <v>29</v>
      </c>
      <c r="F17" s="3">
        <v>4</v>
      </c>
      <c r="G17" s="4">
        <f>IFERROR(VLOOKUP(E17,Products!$A$2:$C$50,3,FALSE),0)</f>
        <v>24</v>
      </c>
      <c r="H17" s="5">
        <f>0</f>
        <v>0</v>
      </c>
      <c r="I17" s="4">
        <f>ROUND(F17*G17*(1-H17),2)</f>
        <v>96</v>
      </c>
    </row>
    <row r="18" spans="1:9" x14ac:dyDescent="0.25">
      <c r="A18" s="2">
        <v>46267</v>
      </c>
      <c r="B18" t="s">
        <v>9</v>
      </c>
      <c r="C18" t="s">
        <v>10</v>
      </c>
      <c r="D18" t="s">
        <v>11</v>
      </c>
      <c r="E18" t="s">
        <v>23</v>
      </c>
      <c r="F18" s="3">
        <v>7</v>
      </c>
      <c r="G18" s="4">
        <f>IFERROR(VLOOKUP(E18,Products!$A$2:$C$50,3,FALSE),0)</f>
        <v>56</v>
      </c>
      <c r="H18" s="5">
        <f>0</f>
        <v>0</v>
      </c>
      <c r="I18" s="4">
        <f>ROUND(F18*G18*(1-H18),2)</f>
        <v>392</v>
      </c>
    </row>
    <row r="19" spans="1:9" x14ac:dyDescent="0.25">
      <c r="A19" s="2">
        <v>46270</v>
      </c>
      <c r="B19" t="s">
        <v>19</v>
      </c>
      <c r="C19" t="s">
        <v>20</v>
      </c>
      <c r="D19" t="s">
        <v>17</v>
      </c>
      <c r="E19" t="s">
        <v>21</v>
      </c>
      <c r="F19" s="3">
        <v>18</v>
      </c>
      <c r="G19" s="4">
        <f>IFERROR(VLOOKUP(E19,Products!$A$2:$C$50,3,FALSE),0)</f>
        <v>14</v>
      </c>
      <c r="H19" s="5">
        <f>0</f>
        <v>0</v>
      </c>
      <c r="I19" s="4">
        <f>ROUND(F19*G19*(1-H19),2)</f>
        <v>252</v>
      </c>
    </row>
    <row r="20" spans="1:9" x14ac:dyDescent="0.25">
      <c r="A20" s="2">
        <v>46274</v>
      </c>
      <c r="B20" t="s">
        <v>27</v>
      </c>
      <c r="C20" t="s">
        <v>10</v>
      </c>
      <c r="D20" t="s">
        <v>14</v>
      </c>
      <c r="E20" t="s">
        <v>12</v>
      </c>
      <c r="F20" s="3">
        <v>4</v>
      </c>
      <c r="G20" s="4">
        <f>IFERROR(VLOOKUP(E20,Products!$A$2:$C$50,3,FALSE),0)</f>
        <v>52</v>
      </c>
      <c r="H20" s="5">
        <f>0</f>
        <v>0</v>
      </c>
      <c r="I20" s="4">
        <f>ROUND(F20*G20*(1-H20),2)</f>
        <v>208</v>
      </c>
    </row>
    <row r="21" spans="1:9" x14ac:dyDescent="0.25">
      <c r="A21" s="2">
        <v>46277</v>
      </c>
      <c r="B21" t="s">
        <v>15</v>
      </c>
      <c r="C21" t="s">
        <v>16</v>
      </c>
      <c r="D21" t="s">
        <v>17</v>
      </c>
      <c r="E21" t="s">
        <v>18</v>
      </c>
      <c r="F21" s="3">
        <v>24</v>
      </c>
      <c r="G21" s="4">
        <f>IFERROR(VLOOKUP(E21,Products!$A$2:$C$50,3,FALSE),0)</f>
        <v>18</v>
      </c>
      <c r="H21" s="5">
        <f>0</f>
        <v>0</v>
      </c>
      <c r="I21" s="4">
        <f>ROUND(F21*G21*(1-H21),2)</f>
        <v>432</v>
      </c>
    </row>
    <row r="22" spans="1:9" x14ac:dyDescent="0.25">
      <c r="A22" s="2">
        <v>46281</v>
      </c>
      <c r="B22" t="s">
        <v>13</v>
      </c>
      <c r="C22" t="s">
        <v>10</v>
      </c>
      <c r="D22" t="s">
        <v>14</v>
      </c>
      <c r="E22" t="s">
        <v>12</v>
      </c>
      <c r="F22" s="3">
        <v>5</v>
      </c>
      <c r="G22" s="4">
        <f>IFERROR(VLOOKUP(E22,Products!$A$2:$C$50,3,FALSE),0)</f>
        <v>52</v>
      </c>
      <c r="H22" s="5">
        <f>0</f>
        <v>0</v>
      </c>
      <c r="I22" s="4">
        <f>ROUND(F22*G22*(1-H22),2)</f>
        <v>260</v>
      </c>
    </row>
    <row r="23" spans="1:9" x14ac:dyDescent="0.25">
      <c r="A23" s="2">
        <v>46284</v>
      </c>
      <c r="B23" t="s">
        <v>24</v>
      </c>
      <c r="C23" t="s">
        <v>10</v>
      </c>
      <c r="D23" t="s">
        <v>14</v>
      </c>
      <c r="E23" t="s">
        <v>28</v>
      </c>
      <c r="F23" s="3">
        <v>3</v>
      </c>
      <c r="G23" s="4">
        <f>IFERROR(VLOOKUP(E23,Products!$A$2:$C$50,3,FALSE),0)</f>
        <v>58</v>
      </c>
      <c r="H23" s="5">
        <f>0.1</f>
        <v>0.1</v>
      </c>
      <c r="I23" s="4">
        <f>ROUND(F23*G23*(1-H23),2)</f>
        <v>156.6</v>
      </c>
    </row>
    <row r="24" spans="1:9" x14ac:dyDescent="0.25">
      <c r="A24" s="2">
        <v>46288</v>
      </c>
      <c r="B24" t="s">
        <v>15</v>
      </c>
      <c r="C24" t="s">
        <v>16</v>
      </c>
      <c r="D24" t="s">
        <v>17</v>
      </c>
      <c r="E24" t="s">
        <v>26</v>
      </c>
      <c r="F24" s="3">
        <v>20</v>
      </c>
      <c r="G24" s="4">
        <f>IFERROR(VLOOKUP(E24,Products!$A$2:$C$50,3,FALSE),0)</f>
        <v>22</v>
      </c>
      <c r="H24" s="5">
        <f>0</f>
        <v>0</v>
      </c>
      <c r="I24" s="4">
        <f>ROUND(F24*G24*(1-H24),2)</f>
        <v>440</v>
      </c>
    </row>
    <row r="25" spans="1:9" x14ac:dyDescent="0.25">
      <c r="A25" s="2">
        <v>46291</v>
      </c>
      <c r="B25" t="s">
        <v>22</v>
      </c>
      <c r="C25" t="s">
        <v>10</v>
      </c>
      <c r="D25" t="s">
        <v>11</v>
      </c>
      <c r="E25" t="s">
        <v>23</v>
      </c>
      <c r="F25" s="3">
        <v>6</v>
      </c>
      <c r="G25" s="4">
        <f>IFERROR(VLOOKUP(E25,Products!$A$2:$C$50,3,FALSE),0)</f>
        <v>56</v>
      </c>
      <c r="H25" s="5">
        <f>0</f>
        <v>0</v>
      </c>
      <c r="I25" s="4">
        <f>ROUND(F25*G25*(1-H25),2)</f>
        <v>336</v>
      </c>
    </row>
    <row r="26" spans="1:9" x14ac:dyDescent="0.25">
      <c r="A26" s="2">
        <v>46295</v>
      </c>
      <c r="B26" t="s">
        <v>9</v>
      </c>
      <c r="C26" t="s">
        <v>10</v>
      </c>
      <c r="D26" t="s">
        <v>11</v>
      </c>
      <c r="E26" t="s">
        <v>28</v>
      </c>
      <c r="F26" s="3">
        <v>2</v>
      </c>
      <c r="G26" s="4">
        <f>IFERROR(VLOOKUP(E26,Products!$A$2:$C$50,3,FALSE),0)</f>
        <v>58</v>
      </c>
      <c r="H26" s="5">
        <f>0</f>
        <v>0</v>
      </c>
      <c r="I26" s="4">
        <f>ROUND(F26*G26*(1-H26),2)</f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8" customWidth="1"/>
    <col min="4" max="4" width="12" customWidth="1"/>
    <col min="5" max="5" width="13" customWidth="1"/>
    <col min="6" max="6" width="12" customWidth="1"/>
    <col min="7" max="7" width="16" customWidth="1"/>
    <col min="8" max="8" width="13" customWidth="1"/>
  </cols>
  <sheetData>
    <row r="1" spans="1:8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10</v>
      </c>
      <c r="G1" s="1" t="s">
        <v>35</v>
      </c>
      <c r="H1" s="1" t="s">
        <v>36</v>
      </c>
    </row>
    <row r="2" spans="1:8" x14ac:dyDescent="0.25">
      <c r="A2" s="6">
        <f>DATE(2026,7,1)</f>
        <v>46204</v>
      </c>
      <c r="B2" s="3">
        <f>COUNTIFS('Sales Log'!A:A,"&gt;="&amp;A2,'Sales Log'!A:A,"&lt;="&amp;EOMONTH(A2,0))</f>
        <v>8</v>
      </c>
      <c r="C2" s="3">
        <f>SUMIFS('Sales Log'!F:F,'Sales Log'!A:A,"&gt;="&amp;A2,'Sales Log'!A:A,"&lt;="&amp;EOMONTH(A2,0))</f>
        <v>79</v>
      </c>
      <c r="D2" s="4">
        <f>SUMIFS('Sales Log'!I:I,'Sales Log'!A:A,"&gt;="&amp;A2,'Sales Log'!A:A,"&lt;="&amp;EOMONTH(A2,0))</f>
        <v>2322.4</v>
      </c>
      <c r="E2" s="4">
        <f>IF(B2=0,0,D2/B2)</f>
        <v>290.3</v>
      </c>
      <c r="F2" s="4">
        <f>SUMIFS('Sales Log'!I:I,'Sales Log'!A:A,"&gt;="&amp;A2,'Sales Log'!A:A,"&lt;="&amp;EOMONTH(A2,0),'Sales Log'!C:C,"Wholesale")</f>
        <v>1366.4</v>
      </c>
      <c r="G2" s="4">
        <f>SUMIFS('Sales Log'!I:I,'Sales Log'!A:A,"&gt;="&amp;A2,'Sales Log'!A:A,"&lt;="&amp;EOMONTH(A2,0),'Sales Log'!C:C,"&lt;&gt;Wholesale")</f>
        <v>956</v>
      </c>
      <c r="H2" s="5"/>
    </row>
    <row r="3" spans="1:8" x14ac:dyDescent="0.25">
      <c r="A3" s="6">
        <f>DATE(2026,8,1)</f>
        <v>46235</v>
      </c>
      <c r="B3" s="3">
        <f>COUNTIFS('Sales Log'!A:A,"&gt;="&amp;A3,'Sales Log'!A:A,"&lt;="&amp;EOMONTH(A3,0))</f>
        <v>8</v>
      </c>
      <c r="C3" s="3">
        <f>SUMIFS('Sales Log'!F:F,'Sales Log'!A:A,"&gt;="&amp;A3,'Sales Log'!A:A,"&lt;="&amp;EOMONTH(A3,0))</f>
        <v>73</v>
      </c>
      <c r="D3" s="4">
        <f>SUMIFS('Sales Log'!I:I,'Sales Log'!A:A,"&gt;="&amp;A3,'Sales Log'!A:A,"&lt;="&amp;EOMONTH(A3,0))</f>
        <v>2201.1</v>
      </c>
      <c r="E3" s="4">
        <f>IF(B3=0,0,D3/B3)</f>
        <v>275.1375</v>
      </c>
      <c r="F3" s="4">
        <f>SUMIFS('Sales Log'!I:I,'Sales Log'!A:A,"&gt;="&amp;A3,'Sales Log'!A:A,"&lt;="&amp;EOMONTH(A3,0),'Sales Log'!C:C,"Wholesale")</f>
        <v>1338.4</v>
      </c>
      <c r="G3" s="4">
        <f>SUMIFS('Sales Log'!I:I,'Sales Log'!A:A,"&gt;="&amp;A3,'Sales Log'!A:A,"&lt;="&amp;EOMONTH(A3,0),'Sales Log'!C:C,"&lt;&gt;Wholesale")</f>
        <v>862.7</v>
      </c>
      <c r="H3" s="5">
        <f>IF(D2=0,0,D3/D2-1)</f>
        <v>-0.052230451257320065</v>
      </c>
    </row>
    <row r="4" spans="1:8" x14ac:dyDescent="0.25">
      <c r="A4" s="6">
        <f>DATE(2026,9,1)</f>
        <v>46266</v>
      </c>
      <c r="B4" s="3">
        <f>COUNTIFS('Sales Log'!A:A,"&gt;="&amp;A4,'Sales Log'!A:A,"&lt;="&amp;EOMONTH(A4,0))</f>
        <v>9</v>
      </c>
      <c r="C4" s="3">
        <f>SUMIFS('Sales Log'!F:F,'Sales Log'!A:A,"&gt;="&amp;A4,'Sales Log'!A:A,"&lt;="&amp;EOMONTH(A4,0))</f>
        <v>89</v>
      </c>
      <c r="D4" s="4">
        <f>SUMIFS('Sales Log'!I:I,'Sales Log'!A:A,"&gt;="&amp;A4,'Sales Log'!A:A,"&lt;="&amp;EOMONTH(A4,0))</f>
        <v>2592.6</v>
      </c>
      <c r="E4" s="4">
        <f>IF(B4=0,0,D4/B4)</f>
        <v>288.06666666666666</v>
      </c>
      <c r="F4" s="4">
        <f>SUMIFS('Sales Log'!I:I,'Sales Log'!A:A,"&gt;="&amp;A4,'Sales Log'!A:A,"&lt;="&amp;EOMONTH(A4,0),'Sales Log'!C:C,"Wholesale")</f>
        <v>1468.6</v>
      </c>
      <c r="G4" s="4">
        <f>SUMIFS('Sales Log'!I:I,'Sales Log'!A:A,"&gt;="&amp;A4,'Sales Log'!A:A,"&lt;="&amp;EOMONTH(A4,0),'Sales Log'!C:C,"&lt;&gt;Wholesale")</f>
        <v>1124</v>
      </c>
      <c r="H4" s="5">
        <f>IF(D3=0,0,D4/D3-1)</f>
        <v>0.17786561264822143</v>
      </c>
    </row>
    <row r="5" spans="1:8" x14ac:dyDescent="0.25">
      <c r="A5" s="2" t="s">
        <v>37</v>
      </c>
      <c r="B5" s="3">
        <f>SUM(B2:B4)</f>
        <v>25</v>
      </c>
      <c r="C5" s="3">
        <f>SUM(C2:C4)</f>
        <v>241</v>
      </c>
      <c r="D5" s="4">
        <f>SUM(D2:D4)</f>
        <v>7116.1</v>
      </c>
      <c r="E5" s="4">
        <f>IF(B5=0,0,D5/B5)</f>
        <v>284.644</v>
      </c>
      <c r="F5" s="4">
        <f>SUM(F2:F4)</f>
        <v>4173.4</v>
      </c>
      <c r="G5" s="4">
        <f>SUM(G2:G4)</f>
        <v>2942.7</v>
      </c>
      <c r="H5" s="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8" customWidth="1"/>
    <col min="3" max="3" width="11" customWidth="1"/>
    <col min="4" max="4" width="12" customWidth="1"/>
    <col min="5" max="5" width="8" customWidth="1"/>
  </cols>
  <sheetData>
    <row r="1" spans="1:5" s="1" customFormat="1" x14ac:dyDescent="0.25">
      <c r="A1" s="1" t="s">
        <v>38</v>
      </c>
      <c r="B1" s="1" t="s">
        <v>4</v>
      </c>
      <c r="C1" s="1" t="s">
        <v>39</v>
      </c>
      <c r="D1" s="1" t="s">
        <v>33</v>
      </c>
      <c r="E1" s="1" t="s">
        <v>40</v>
      </c>
    </row>
    <row r="2" spans="1:5" x14ac:dyDescent="0.25">
      <c r="A2" s="3">
        <v>1</v>
      </c>
      <c r="B2" t="str">
        <f>IFERROR(VLOOKUP(A2,Products!$H$2:$I$50,2,FALSE),"")</f>
        <v>House Blend, 5 lb bag</v>
      </c>
      <c r="C2" s="3">
        <f>IFERROR(VLOOKUP(B2,Products!$A$2:$H$50,4,FALSE),0)</f>
        <v>43</v>
      </c>
      <c r="D2" s="4">
        <f>IFERROR(VLOOKUP(B2,Products!$A$2:$H$50,5,FALSE),0)</f>
        <v>2152.8</v>
      </c>
      <c r="E2" s="5">
        <f>IFERROR(VLOOKUP(B2,Products!$A$2:$H$50,6,FALSE),0)</f>
        <v>0.30252525962254606</v>
      </c>
    </row>
    <row r="3" spans="1:5" x14ac:dyDescent="0.25">
      <c r="A3" s="3">
        <v>2</v>
      </c>
      <c r="B3" t="str">
        <f>IFERROR(VLOOKUP(A3,Products!$H$2:$I$50,2,FALSE),"")</f>
        <v>Cold Brew Pack, 4 pouches</v>
      </c>
      <c r="C3" s="3">
        <f>IFERROR(VLOOKUP(B3,Products!$A$2:$H$50,4,FALSE),0)</f>
        <v>64</v>
      </c>
      <c r="D3" s="4">
        <f>IFERROR(VLOOKUP(B3,Products!$A$2:$H$50,5,FALSE),0)</f>
        <v>1408</v>
      </c>
      <c r="E3" s="5">
        <f>IFERROR(VLOOKUP(B3,Products!$A$2:$H$50,6,FALSE),0)</f>
        <v>0.19786118801028652</v>
      </c>
    </row>
    <row r="4" spans="1:5" x14ac:dyDescent="0.25">
      <c r="A4" s="3">
        <v>3</v>
      </c>
      <c r="B4" t="str">
        <f>IFERROR(VLOOKUP(A4,Products!$H$2:$I$50,2,FALSE),"")</f>
        <v>Espresso Roast, 5 lb bag</v>
      </c>
      <c r="C4" s="3">
        <f>IFERROR(VLOOKUP(B4,Products!$A$2:$H$50,4,FALSE),0)</f>
        <v>24</v>
      </c>
      <c r="D4" s="4">
        <f>IFERROR(VLOOKUP(B4,Products!$A$2:$H$50,5,FALSE),0)</f>
        <v>1344</v>
      </c>
      <c r="E4" s="5">
        <f>IFERROR(VLOOKUP(B4,Products!$A$2:$H$50,6,FALSE),0)</f>
        <v>0.1888674976461826</v>
      </c>
    </row>
    <row r="5" spans="1:5" x14ac:dyDescent="0.25">
      <c r="A5" s="3">
        <v>4</v>
      </c>
      <c r="B5" t="str">
        <f>IFERROR(VLOOKUP(A5,Products!$H$2:$I$50,2,FALSE),"")</f>
        <v>Ethiopia Yirgacheffe, 12 oz</v>
      </c>
      <c r="C5" s="3">
        <f>IFERROR(VLOOKUP(B5,Products!$A$2:$H$50,4,FALSE),0)</f>
        <v>57</v>
      </c>
      <c r="D5" s="4">
        <f>IFERROR(VLOOKUP(B5,Products!$A$2:$H$50,5,FALSE),0)</f>
        <v>974.7</v>
      </c>
      <c r="E5" s="5">
        <f>IFERROR(VLOOKUP(B5,Products!$A$2:$H$50,6,FALSE),0)</f>
        <v>0.13697109371706412</v>
      </c>
    </row>
    <row r="6" spans="1:5" x14ac:dyDescent="0.25">
      <c r="A6" s="3">
        <v>5</v>
      </c>
      <c r="B6" t="str">
        <f>IFERROR(VLOOKUP(A6,Products!$H$2:$I$50,2,FALSE),"")</f>
        <v>Breakfast Blend, 12 oz</v>
      </c>
      <c r="C6" s="3">
        <f>IFERROR(VLOOKUP(B6,Products!$A$2:$H$50,4,FALSE),0)</f>
        <v>40</v>
      </c>
      <c r="D6" s="4">
        <f>IFERROR(VLOOKUP(B6,Products!$A$2:$H$50,5,FALSE),0)</f>
        <v>560</v>
      </c>
      <c r="E6" s="5">
        <f>IFERROR(VLOOKUP(B6,Products!$A$2:$H$50,6,FALSE),0)</f>
        <v>0.07869479068590941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3" max="3" width="10" customWidth="1"/>
    <col min="4" max="4" width="11" customWidth="1"/>
    <col min="5" max="5" width="12" customWidth="1"/>
    <col min="6" max="6" width="8" customWidth="1"/>
    <col min="7" max="7" width="7" customWidth="1"/>
    <col min="8" max="9" width="5" hidden="1" customWidth="1"/>
  </cols>
  <sheetData>
    <row r="1" spans="1:9" s="1" customFormat="1" x14ac:dyDescent="0.25">
      <c r="A1" s="1" t="s">
        <v>4</v>
      </c>
      <c r="B1" s="1" t="s">
        <v>41</v>
      </c>
      <c r="C1" s="1" t="s">
        <v>42</v>
      </c>
      <c r="D1" s="1" t="s">
        <v>39</v>
      </c>
      <c r="E1" s="1" t="s">
        <v>33</v>
      </c>
      <c r="F1" s="1" t="s">
        <v>40</v>
      </c>
      <c r="G1" s="1" t="s">
        <v>38</v>
      </c>
      <c r="H1" s="1" t="s">
        <v>43</v>
      </c>
      <c r="I1" s="1" t="s">
        <v>44</v>
      </c>
    </row>
    <row r="2" spans="1:9" x14ac:dyDescent="0.25">
      <c r="A2" t="s">
        <v>12</v>
      </c>
      <c r="B2" t="s">
        <v>45</v>
      </c>
      <c r="C2" s="4">
        <v>52</v>
      </c>
      <c r="D2" s="3">
        <f>SUMIF('Sales Log'!E:E,A2,'Sales Log'!F:F)</f>
        <v>43</v>
      </c>
      <c r="E2" s="4">
        <f>SUMIF('Sales Log'!E:E,A2,'Sales Log'!I:I)</f>
        <v>2152.8</v>
      </c>
      <c r="F2" s="5">
        <f>IF(SUM($E$2:$E$9)=0,0,E2/SUM($E$2:$E$9))</f>
        <v>0.30252525962254606</v>
      </c>
      <c r="G2" s="3">
        <f>COUNTIF($E$2:$E$9,"&gt;"&amp;E2)+COUNTIF($E$2:E2,E2)</f>
        <v>1</v>
      </c>
      <c r="H2" s="3">
        <f>G2</f>
        <v>1</v>
      </c>
      <c r="I2" t="str">
        <f>A2</f>
        <v>House Blend, 5 lb bag</v>
      </c>
    </row>
    <row r="3" spans="1:9" x14ac:dyDescent="0.25">
      <c r="A3" t="s">
        <v>23</v>
      </c>
      <c r="B3" t="s">
        <v>46</v>
      </c>
      <c r="C3" s="4">
        <v>56</v>
      </c>
      <c r="D3" s="3">
        <f>SUMIF('Sales Log'!E:E,A3,'Sales Log'!F:F)</f>
        <v>24</v>
      </c>
      <c r="E3" s="4">
        <f>SUMIF('Sales Log'!E:E,A3,'Sales Log'!I:I)</f>
        <v>1344</v>
      </c>
      <c r="F3" s="5">
        <f>IF(SUM($E$2:$E$9)=0,0,E3/SUM($E$2:$E$9))</f>
        <v>0.1888674976461826</v>
      </c>
      <c r="G3" s="3">
        <f>COUNTIF($E$2:$E$9,"&gt;"&amp;E3)+COUNTIF($E$2:E3,E3)</f>
        <v>3</v>
      </c>
      <c r="H3" s="3">
        <f>G3</f>
        <v>3</v>
      </c>
      <c r="I3" t="str">
        <f>A3</f>
        <v>Espresso Roast, 5 lb bag</v>
      </c>
    </row>
    <row r="4" spans="1:9" x14ac:dyDescent="0.25">
      <c r="A4" t="s">
        <v>28</v>
      </c>
      <c r="B4" t="s">
        <v>47</v>
      </c>
      <c r="C4" s="4">
        <v>58</v>
      </c>
      <c r="D4" s="3">
        <f>SUMIF('Sales Log'!E:E,A4,'Sales Log'!F:F)</f>
        <v>7</v>
      </c>
      <c r="E4" s="4">
        <f>SUMIF('Sales Log'!E:E,A4,'Sales Log'!I:I)</f>
        <v>388.6</v>
      </c>
      <c r="F4" s="5">
        <f>IF(SUM($E$2:$E$9)=0,0,E4/SUM($E$2:$E$9))</f>
        <v>0.05460856367954357</v>
      </c>
      <c r="G4" s="3">
        <f>COUNTIF($E$2:$E$9,"&gt;"&amp;E4)+COUNTIF($E$2:E4,E4)</f>
        <v>6</v>
      </c>
      <c r="H4" s="3">
        <f>G4</f>
        <v>6</v>
      </c>
      <c r="I4" t="str">
        <f>A4</f>
        <v>Decaf Colombia, 5 lb bag</v>
      </c>
    </row>
    <row r="5" spans="1:9" x14ac:dyDescent="0.25">
      <c r="A5" t="s">
        <v>18</v>
      </c>
      <c r="B5" t="s">
        <v>48</v>
      </c>
      <c r="C5" s="4">
        <v>18</v>
      </c>
      <c r="D5" s="3">
        <f>SUMIF('Sales Log'!E:E,A5,'Sales Log'!F:F)</f>
        <v>57</v>
      </c>
      <c r="E5" s="4">
        <f>SUMIF('Sales Log'!E:E,A5,'Sales Log'!I:I)</f>
        <v>974.7</v>
      </c>
      <c r="F5" s="5">
        <f>IF(SUM($E$2:$E$9)=0,0,E5/SUM($E$2:$E$9))</f>
        <v>0.13697109371706412</v>
      </c>
      <c r="G5" s="3">
        <f>COUNTIF($E$2:$E$9,"&gt;"&amp;E5)+COUNTIF($E$2:E5,E5)</f>
        <v>4</v>
      </c>
      <c r="H5" s="3">
        <f>G5</f>
        <v>4</v>
      </c>
      <c r="I5" t="str">
        <f>A5</f>
        <v>Ethiopia Yirgacheffe, 12 oz</v>
      </c>
    </row>
    <row r="6" spans="1:9" x14ac:dyDescent="0.25">
      <c r="A6" t="s">
        <v>21</v>
      </c>
      <c r="B6" t="s">
        <v>49</v>
      </c>
      <c r="C6" s="4">
        <v>14</v>
      </c>
      <c r="D6" s="3">
        <f>SUMIF('Sales Log'!E:E,A6,'Sales Log'!F:F)</f>
        <v>40</v>
      </c>
      <c r="E6" s="4">
        <f>SUMIF('Sales Log'!E:E,A6,'Sales Log'!I:I)</f>
        <v>560</v>
      </c>
      <c r="F6" s="5">
        <f>IF(SUM($E$2:$E$9)=0,0,E6/SUM($E$2:$E$9))</f>
        <v>0.07869479068590941</v>
      </c>
      <c r="G6" s="3">
        <f>COUNTIF($E$2:$E$9,"&gt;"&amp;E6)+COUNTIF($E$2:E6,E6)</f>
        <v>5</v>
      </c>
      <c r="H6" s="3">
        <f>G6</f>
        <v>5</v>
      </c>
      <c r="I6" t="str">
        <f>A6</f>
        <v>Breakfast Blend, 12 oz</v>
      </c>
    </row>
    <row r="7" spans="1:9" x14ac:dyDescent="0.25">
      <c r="A7" t="s">
        <v>26</v>
      </c>
      <c r="B7" t="s">
        <v>50</v>
      </c>
      <c r="C7" s="4">
        <v>22</v>
      </c>
      <c r="D7" s="3">
        <f>SUMIF('Sales Log'!E:E,A7,'Sales Log'!F:F)</f>
        <v>64</v>
      </c>
      <c r="E7" s="4">
        <f>SUMIF('Sales Log'!E:E,A7,'Sales Log'!I:I)</f>
        <v>1408</v>
      </c>
      <c r="F7" s="5">
        <f>IF(SUM($E$2:$E$9)=0,0,E7/SUM($E$2:$E$9))</f>
        <v>0.19786118801028652</v>
      </c>
      <c r="G7" s="3">
        <f>COUNTIF($E$2:$E$9,"&gt;"&amp;E7)+COUNTIF($E$2:E7,E7)</f>
        <v>2</v>
      </c>
      <c r="H7" s="3">
        <f>G7</f>
        <v>2</v>
      </c>
      <c r="I7" t="str">
        <f>A7</f>
        <v>Cold Brew Pack, 4 pouches</v>
      </c>
    </row>
    <row r="8" spans="1:9" x14ac:dyDescent="0.25">
      <c r="A8" t="s">
        <v>25</v>
      </c>
      <c r="B8" t="s">
        <v>51</v>
      </c>
      <c r="C8" s="4">
        <v>96</v>
      </c>
      <c r="D8" s="3">
        <f>SUMIF('Sales Log'!E:E,A8,'Sales Log'!F:F)</f>
        <v>2</v>
      </c>
      <c r="E8" s="4">
        <f>SUMIF('Sales Log'!E:E,A8,'Sales Log'!I:I)</f>
        <v>192</v>
      </c>
      <c r="F8" s="5">
        <f>IF(SUM($E$2:$E$9)=0,0,E8/SUM($E$2:$E$9))</f>
        <v>0.0269810710923118</v>
      </c>
      <c r="G8" s="3">
        <f>COUNTIF($E$2:$E$9,"&gt;"&amp;E8)+COUNTIF($E$2:E8,E8)</f>
        <v>7</v>
      </c>
      <c r="H8" s="3">
        <f>G8</f>
        <v>7</v>
      </c>
      <c r="I8" t="str">
        <f>A8</f>
        <v>Cafe mugs, case of 12</v>
      </c>
    </row>
    <row r="9" spans="1:9" x14ac:dyDescent="0.25">
      <c r="A9" t="s">
        <v>29</v>
      </c>
      <c r="B9" t="s">
        <v>52</v>
      </c>
      <c r="C9" s="4">
        <v>24</v>
      </c>
      <c r="D9" s="3">
        <f>SUMIF('Sales Log'!E:E,A9,'Sales Log'!F:F)</f>
        <v>4</v>
      </c>
      <c r="E9" s="4">
        <f>SUMIF('Sales Log'!E:E,A9,'Sales Log'!I:I)</f>
        <v>96</v>
      </c>
      <c r="F9" s="5">
        <f>IF(SUM($E$2:$E$9)=0,0,E9/SUM($E$2:$E$9))</f>
        <v>0.0134905355461559</v>
      </c>
      <c r="G9" s="3">
        <f>COUNTIF($E$2:$E$9,"&gt;"&amp;E9)+COUNTIF($E$2:E9,E9)</f>
        <v>8</v>
      </c>
      <c r="H9" s="3">
        <f>G9</f>
        <v>8</v>
      </c>
      <c r="I9" t="str">
        <f>A9</f>
        <v>Paper filters, case of 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4" width="8" customWidth="1"/>
    <col min="5" max="5" width="12" customWidth="1"/>
    <col min="6" max="6" width="13" customWidth="1"/>
    <col min="7" max="7" width="8" customWidth="1"/>
  </cols>
  <sheetData>
    <row r="1" spans="1:7" s="1" customFormat="1" x14ac:dyDescent="0.25">
      <c r="A1" s="1" t="s">
        <v>53</v>
      </c>
      <c r="B1" s="1" t="s">
        <v>54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40</v>
      </c>
    </row>
    <row r="2" spans="1:7" x14ac:dyDescent="0.25">
      <c r="A2" t="s">
        <v>11</v>
      </c>
      <c r="B2" t="s">
        <v>3</v>
      </c>
      <c r="C2" s="3">
        <f>COUNTIF('Sales Log'!D:D,A2)</f>
        <v>9</v>
      </c>
      <c r="D2" s="3">
        <f>SUMIF('Sales Log'!D:D,A2,'Sales Log'!F:F)</f>
        <v>43</v>
      </c>
      <c r="E2" s="4">
        <f>SUMIF('Sales Log'!D:D,A2,'Sales Log'!I:I)</f>
        <v>2320</v>
      </c>
      <c r="F2" s="4">
        <f>IF(C2=0,0,E2/C2)</f>
        <v>257.77777777777777</v>
      </c>
      <c r="G2" s="5">
        <f>IF(SUM('Sales Log'!I:I)=0,0,E2/SUM('Sales Log'!I:I))</f>
        <v>0.32602127569876754</v>
      </c>
    </row>
    <row r="3" spans="1:7" x14ac:dyDescent="0.25">
      <c r="A3" t="s">
        <v>14</v>
      </c>
      <c r="B3" t="s">
        <v>3</v>
      </c>
      <c r="C3" s="3">
        <f>COUNTIF('Sales Log'!D:D,A3)</f>
        <v>8</v>
      </c>
      <c r="D3" s="3">
        <f>SUMIF('Sales Log'!D:D,A3,'Sales Log'!F:F)</f>
        <v>37</v>
      </c>
      <c r="E3" s="4">
        <f>SUMIF('Sales Log'!D:D,A3,'Sales Log'!I:I)</f>
        <v>1853.3999999999999</v>
      </c>
      <c r="F3" s="4">
        <f>IF(C3=0,0,E3/C3)</f>
        <v>231.67499999999998</v>
      </c>
      <c r="G3" s="5">
        <f>IF(SUM('Sales Log'!I:I)=0,0,E3/SUM('Sales Log'!I:I))</f>
        <v>0.2604516518879723</v>
      </c>
    </row>
    <row r="4" spans="1:7" x14ac:dyDescent="0.25">
      <c r="A4" t="s">
        <v>17</v>
      </c>
      <c r="B4" t="s">
        <v>3</v>
      </c>
      <c r="C4" s="3">
        <f>COUNTIF('Sales Log'!D:D,A4)</f>
        <v>8</v>
      </c>
      <c r="D4" s="3">
        <f>SUMIF('Sales Log'!D:D,A4,'Sales Log'!F:F)</f>
        <v>161</v>
      </c>
      <c r="E4" s="4">
        <f>SUMIF('Sales Log'!D:D,A4,'Sales Log'!I:I)</f>
        <v>2942.7</v>
      </c>
      <c r="F4" s="4">
        <f>IF(C4=0,0,E4/C4)</f>
        <v>367.8375</v>
      </c>
      <c r="G4" s="5">
        <f>IF(SUM('Sales Log'!I:I)=0,0,E4/SUM('Sales Log'!I:I))</f>
        <v>0.41352707241326003</v>
      </c>
    </row>
    <row r="5" spans="1:7" x14ac:dyDescent="0.25">
      <c r="A5" t="s">
        <v>10</v>
      </c>
      <c r="B5" t="s">
        <v>2</v>
      </c>
      <c r="C5" s="3">
        <f>COUNTIF('Sales Log'!C:C,A5)</f>
        <v>17</v>
      </c>
      <c r="D5" s="3">
        <f>SUMIF('Sales Log'!C:C,A5,'Sales Log'!F:F)</f>
        <v>80</v>
      </c>
      <c r="E5" s="4">
        <f>SUMIF('Sales Log'!C:C,A5,'Sales Log'!I:I)</f>
        <v>4173.4</v>
      </c>
      <c r="F5" s="4">
        <f>IF(C5=0,0,E5/C5)</f>
        <v>245.4941176470588</v>
      </c>
      <c r="G5" s="5">
        <f>IF(SUM('Sales Log'!I:I)=0,0,E5/SUM('Sales Log'!I:I))</f>
        <v>0.5864729275867399</v>
      </c>
    </row>
    <row r="6" spans="1:7" x14ac:dyDescent="0.25">
      <c r="A6" t="s">
        <v>16</v>
      </c>
      <c r="B6" t="s">
        <v>2</v>
      </c>
      <c r="C6" s="3">
        <f>COUNTIF('Sales Log'!C:C,A6)</f>
        <v>5</v>
      </c>
      <c r="D6" s="3">
        <f>SUMIF('Sales Log'!C:C,A6,'Sales Log'!F:F)</f>
        <v>95</v>
      </c>
      <c r="E6" s="4">
        <f>SUMIF('Sales Log'!C:C,A6,'Sales Log'!I:I)</f>
        <v>1810.7</v>
      </c>
      <c r="F6" s="4">
        <f>IF(C6=0,0,E6/C6)</f>
        <v>362.14</v>
      </c>
      <c r="G6" s="5">
        <f>IF(SUM('Sales Log'!I:I)=0,0,E6/SUM('Sales Log'!I:I))</f>
        <v>0.25445117409817175</v>
      </c>
    </row>
    <row r="7" spans="1:7" x14ac:dyDescent="0.25">
      <c r="A7" t="s">
        <v>20</v>
      </c>
      <c r="B7" t="s">
        <v>2</v>
      </c>
      <c r="C7" s="3">
        <f>COUNTIF('Sales Log'!C:C,A7)</f>
        <v>3</v>
      </c>
      <c r="D7" s="3">
        <f>SUMIF('Sales Log'!C:C,A7,'Sales Log'!F:F)</f>
        <v>66</v>
      </c>
      <c r="E7" s="4">
        <f>SUMIF('Sales Log'!C:C,A7,'Sales Log'!I:I)</f>
        <v>1132</v>
      </c>
      <c r="F7" s="4">
        <f>IF(C7=0,0,E7/C7)</f>
        <v>377.3333333333333</v>
      </c>
      <c r="G7" s="5">
        <f>IF(SUM('Sales Log'!I:I)=0,0,E7/SUM('Sales Log'!I:I))</f>
        <v>0.1590758983150883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Sales Log</vt:lpstr>
      <vt:lpstr>Monthly Totals</vt:lpstr>
      <vt:lpstr>Top Sellers</vt:lpstr>
      <vt:lpstr>Products</vt:lpstr>
      <vt:lpstr>By Rep and Channel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Sales Tracker</dc:title>
  <dc:subject/>
  <dc:description/>
  <cp:keywords/>
  <cp:category/>
  <cp:lastModifiedBy>Unknown</cp:lastModifiedBy>
  <dcterms:created xsi:type="dcterms:W3CDTF">2026-10-18T23:17:40Z</dcterms:created>
  <dcterms:modified xsi:type="dcterms:W3CDTF">2026-10-18T23:17:40Z</dcterms:modified>
</cp:coreProperties>
</file>