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Budget" state="visible" r:id="rId5"/>
    <sheet sheetId="3" name="Payments" state="visible" r:id="rId6"/>
    <sheet sheetId="4" name="By Category" state="visible" r:id="rId7"/>
    <sheet sheetId="5" name="Who's Paying" state="visible" r:id="rId8"/>
  </sheets>
  <calcPr calcId="171027"/>
</workbook>
</file>

<file path=xl/sharedStrings.xml><?xml version="1.0" encoding="utf-8"?>
<sst xmlns="http://schemas.openxmlformats.org/spreadsheetml/2006/main" count="199" uniqueCount="105">
  <si>
    <t>Item</t>
  </si>
  <si>
    <t>Value</t>
  </si>
  <si>
    <t>Wedding date</t>
  </si>
  <si>
    <t>Today (replace with =TODAY())</t>
  </si>
  <si>
    <t>Guest count</t>
  </si>
  <si>
    <t>Total budget</t>
  </si>
  <si>
    <t>Estimated total</t>
  </si>
  <si>
    <t>Contracted or estimated total</t>
  </si>
  <si>
    <t>Paid so far</t>
  </si>
  <si>
    <t>Still owed</t>
  </si>
  <si>
    <t>Left in budget</t>
  </si>
  <si>
    <t>Budget per guest</t>
  </si>
  <si>
    <t>Cost per guest</t>
  </si>
  <si>
    <t>Payments overdue</t>
  </si>
  <si>
    <t>Due within 30 days or overdue</t>
  </si>
  <si>
    <t>Days until the wedding</t>
  </si>
  <si>
    <t>Category</t>
  </si>
  <si>
    <t>Vendor</t>
  </si>
  <si>
    <t>Per guest</t>
  </si>
  <si>
    <t>Price</t>
  </si>
  <si>
    <t>Estimated</t>
  </si>
  <si>
    <t>Actual</t>
  </si>
  <si>
    <t>Paid by</t>
  </si>
  <si>
    <t>Under or over</t>
  </si>
  <si>
    <t>Cost</t>
  </si>
  <si>
    <t>Venue</t>
  </si>
  <si>
    <t>Venue rental</t>
  </si>
  <si>
    <t>Willow Creek Barn</t>
  </si>
  <si>
    <t>Couple</t>
  </si>
  <si>
    <t>Catering</t>
  </si>
  <si>
    <t>Dinner</t>
  </si>
  <si>
    <t>Harvest Table Catering</t>
  </si>
  <si>
    <t>Maya's parents</t>
  </si>
  <si>
    <t>Bar package</t>
  </si>
  <si>
    <t>Daniel's parents</t>
  </si>
  <si>
    <t>Service charge and tips</t>
  </si>
  <si>
    <t>Photo and video</t>
  </si>
  <si>
    <t>Photographer</t>
  </si>
  <si>
    <t>Lena Ford Photo</t>
  </si>
  <si>
    <t>Videographer</t>
  </si>
  <si>
    <t>Music</t>
  </si>
  <si>
    <t>DJ</t>
  </si>
  <si>
    <t>Spin City DJs</t>
  </si>
  <si>
    <t>Flowers</t>
  </si>
  <si>
    <t>Florist</t>
  </si>
  <si>
    <t>Petal and Stem</t>
  </si>
  <si>
    <t>Attire</t>
  </si>
  <si>
    <t>Wedding dress</t>
  </si>
  <si>
    <t>Bella Bridal</t>
  </si>
  <si>
    <t>Alterations</t>
  </si>
  <si>
    <t>Suit</t>
  </si>
  <si>
    <t>Hudson Tailors</t>
  </si>
  <si>
    <t>Beauty</t>
  </si>
  <si>
    <t>Hair and makeup</t>
  </si>
  <si>
    <t>Glow Studio</t>
  </si>
  <si>
    <t>Cake</t>
  </si>
  <si>
    <t>Sweet Rise Bakery</t>
  </si>
  <si>
    <t>Stationery</t>
  </si>
  <si>
    <t>Invitations and save the dates</t>
  </si>
  <si>
    <t>Paper Lane</t>
  </si>
  <si>
    <t>Rentals</t>
  </si>
  <si>
    <t>Tables, chairs and linens</t>
  </si>
  <si>
    <t>Party Rental Co.</t>
  </si>
  <si>
    <t>Ceremony</t>
  </si>
  <si>
    <t>Officiant</t>
  </si>
  <si>
    <t>Rev. Tom Ellis</t>
  </si>
  <si>
    <t>Marriage license</t>
  </si>
  <si>
    <t>County clerk</t>
  </si>
  <si>
    <t>Rings</t>
  </si>
  <si>
    <t>Wedding rings</t>
  </si>
  <si>
    <t>Main Street Jewelers</t>
  </si>
  <si>
    <t>Extras</t>
  </si>
  <si>
    <t>Favors</t>
  </si>
  <si>
    <t>Etsy</t>
  </si>
  <si>
    <t>Guest shuttle</t>
  </si>
  <si>
    <t>Valley Shuttle</t>
  </si>
  <si>
    <t>Rehearsal dinner</t>
  </si>
  <si>
    <t>Luca's Trattoria</t>
  </si>
  <si>
    <t>Other</t>
  </si>
  <si>
    <t>Buffer for surprises</t>
  </si>
  <si>
    <t>Due date</t>
  </si>
  <si>
    <t>Payment</t>
  </si>
  <si>
    <t>Amount</t>
  </si>
  <si>
    <t>Paid</t>
  </si>
  <si>
    <t>Status</t>
  </si>
  <si>
    <t>In budget</t>
  </si>
  <si>
    <t>Notes</t>
  </si>
  <si>
    <t>Deposit</t>
  </si>
  <si>
    <t>Retainer</t>
  </si>
  <si>
    <t>Paid in full</t>
  </si>
  <si>
    <t>Venmo to Glow Studio</t>
  </si>
  <si>
    <t>Balance</t>
  </si>
  <si>
    <t>Due at first fitting</t>
  </si>
  <si>
    <t>Second payment</t>
  </si>
  <si>
    <t>Final payment</t>
  </si>
  <si>
    <t>Fee</t>
  </si>
  <si>
    <t>Check your county's timing</t>
  </si>
  <si>
    <t>Final headcount due same day</t>
  </si>
  <si>
    <t>Actual or estimate</t>
  </si>
  <si>
    <t>Share of budget</t>
  </si>
  <si>
    <t>Total</t>
  </si>
  <si>
    <t>Who</t>
  </si>
  <si>
    <t>Pledged</t>
  </si>
  <si>
    <t>Costs assigned</t>
  </si>
  <si>
    <t>Pledge left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</si>
</sst>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"/>
    <numFmt numFmtId="167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f>DATE(2027,6,12)</f>
        <v>46550</v>
      </c>
    </row>
    <row r="3" spans="1:2" x14ac:dyDescent="0.25">
      <c r="A3" t="s">
        <v>3</v>
      </c>
      <c r="B3" s="2">
        <f>DATE(2026,10,18)</f>
        <v>46313</v>
      </c>
    </row>
    <row r="4" spans="1:2" x14ac:dyDescent="0.25">
      <c r="A4" t="s">
        <v>4</v>
      </c>
      <c r="B4" s="3">
        <v>120</v>
      </c>
    </row>
    <row r="5" spans="1:2" x14ac:dyDescent="0.25">
      <c r="A5" t="s">
        <v>5</v>
      </c>
      <c r="B5" s="4">
        <f>45000</f>
        <v>45000</v>
      </c>
    </row>
    <row r="6" spans="1:2" x14ac:dyDescent="0.25">
      <c r="A6" t="s">
        <v>6</v>
      </c>
      <c r="B6" s="4">
        <f>SUM(Budget!F2:F200)</f>
        <v>44450</v>
      </c>
    </row>
    <row r="7" spans="1:2" x14ac:dyDescent="0.25">
      <c r="A7" t="s">
        <v>7</v>
      </c>
      <c r="B7" s="4">
        <f>SUM(Budget!M2:M200)</f>
        <v>44960</v>
      </c>
    </row>
    <row r="8" spans="1:2" x14ac:dyDescent="0.25">
      <c r="A8" t="s">
        <v>8</v>
      </c>
      <c r="B8" s="4">
        <f>SUM(Budget!I2:I200)</f>
        <v>8545</v>
      </c>
    </row>
    <row r="9" spans="1:2" x14ac:dyDescent="0.25">
      <c r="A9" t="s">
        <v>9</v>
      </c>
      <c r="B9" s="4">
        <f>B7-B8</f>
        <v>36415</v>
      </c>
    </row>
    <row r="10" spans="1:2" x14ac:dyDescent="0.25">
      <c r="A10" t="s">
        <v>10</v>
      </c>
      <c r="B10" s="4">
        <f>B5-B7</f>
        <v>40</v>
      </c>
    </row>
    <row r="11" spans="1:2" x14ac:dyDescent="0.25">
      <c r="A11" t="s">
        <v>11</v>
      </c>
      <c r="B11" s="4">
        <f>IF(B4=0,0,B5/B4)</f>
        <v>375</v>
      </c>
    </row>
    <row r="12" spans="1:2" x14ac:dyDescent="0.25">
      <c r="A12" t="s">
        <v>12</v>
      </c>
      <c r="B12" s="4">
        <f>IF(B4=0,0,B7/B4)</f>
        <v>374.6666666666667</v>
      </c>
    </row>
    <row r="13" spans="1:2" x14ac:dyDescent="0.25">
      <c r="A13" t="s">
        <v>13</v>
      </c>
      <c r="B13" s="3">
        <f>COUNTIF(Payments!F2:F200,"Overdue")</f>
        <v>1</v>
      </c>
    </row>
    <row r="14" spans="1:2" x14ac:dyDescent="0.25">
      <c r="A14" t="s">
        <v>14</v>
      </c>
      <c r="B14" s="4">
        <f>SUMIFS(Payments!D2:D200,Payments!F2:F200,"Due soon")+SUMIFS(Payments!D2:D200,Payments!F2:F200,"Overdue")</f>
        <v>1675</v>
      </c>
    </row>
    <row r="15" spans="1:2" x14ac:dyDescent="0.25">
      <c r="A15" t="s">
        <v>15</v>
      </c>
      <c r="B15" s="3">
        <f>B2-B3</f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M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8" customWidth="1"/>
    <col min="3" max="3" width="22" customWidth="1"/>
    <col min="4" max="4" width="10" customWidth="1"/>
    <col min="5" max="5" width="11" customWidth="1"/>
    <col min="6" max="7" width="12" customWidth="1"/>
    <col min="8" max="8" width="16" customWidth="1"/>
    <col min="9" max="10" width="12" customWidth="1"/>
    <col min="11" max="11" width="13" customWidth="1"/>
    <col min="12" max="12" width="14" customWidth="1"/>
    <col min="13" max="13" width="12" hidden="1" customWidth="1"/>
  </cols>
  <sheetData>
    <row r="1" spans="1:13" s="1" customFormat="1" x14ac:dyDescent="0.25">
      <c r="A1" s="1" t="s">
        <v>16</v>
      </c>
      <c r="B1" s="1" t="s">
        <v>0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8</v>
      </c>
      <c r="J1" s="1" t="s">
        <v>9</v>
      </c>
      <c r="K1" s="1" t="s">
        <v>23</v>
      </c>
      <c r="L1" s="1" t="s">
        <v>12</v>
      </c>
      <c r="M1" s="1" t="s">
        <v>24</v>
      </c>
    </row>
    <row r="2" spans="1:13" x14ac:dyDescent="0.25">
      <c r="A2" t="s">
        <v>25</v>
      </c>
      <c r="B2" t="s">
        <v>26</v>
      </c>
      <c r="C2" t="s">
        <v>27</v>
      </c>
      <c r="D2" t="b">
        <v>0</v>
      </c>
      <c r="E2" s="4">
        <v>9800</v>
      </c>
      <c r="F2" s="4">
        <f>IF(D2=TRUE,E2*Setup!$B$4,E2)</f>
        <v>9800</v>
      </c>
      <c r="G2" s="4">
        <v>9800</v>
      </c>
      <c r="H2" t="s">
        <v>28</v>
      </c>
      <c r="I2" s="4">
        <f>SUMIFS(Payments!D:D,Payments!B:B,B2,Payments!E:E,TRUE)</f>
        <v>3000</v>
      </c>
      <c r="J2" s="4">
        <f>M2-I2</f>
        <v>6800</v>
      </c>
      <c r="K2" s="4">
        <f>IF(ISNUMBER(G2),F2-G2,"")</f>
        <v>0</v>
      </c>
      <c r="L2" s="4">
        <f>IF(Setup!$B$4=0,0,M2/Setup!$B$4)</f>
        <v>81.66666666666667</v>
      </c>
      <c r="M2" s="4">
        <f>IF(ISNUMBER(G2),G2,F2)</f>
        <v>9800</v>
      </c>
    </row>
    <row r="3" spans="1:13" x14ac:dyDescent="0.25">
      <c r="A3" t="s">
        <v>29</v>
      </c>
      <c r="B3" t="s">
        <v>30</v>
      </c>
      <c r="C3" t="s">
        <v>31</v>
      </c>
      <c r="D3" t="b">
        <v>1</v>
      </c>
      <c r="E3" s="4">
        <v>68</v>
      </c>
      <c r="F3" s="4">
        <f>IF(D3=TRUE,E3*Setup!$B$4,E3)</f>
        <v>8160</v>
      </c>
      <c r="G3" s="4">
        <v>8400</v>
      </c>
      <c r="H3" t="s">
        <v>32</v>
      </c>
      <c r="I3" s="4">
        <f>SUMIFS(Payments!D:D,Payments!B:B,B3,Payments!E:E,TRUE)</f>
        <v>1500</v>
      </c>
      <c r="J3" s="4">
        <f>M3-I3</f>
        <v>6900</v>
      </c>
      <c r="K3" s="4">
        <f>IF(ISNUMBER(G3),F3-G3,"")</f>
        <v>-240</v>
      </c>
      <c r="L3" s="4">
        <f>IF(Setup!$B$4=0,0,M3/Setup!$B$4)</f>
        <v>70</v>
      </c>
      <c r="M3" s="4">
        <f>IF(ISNUMBER(G3),G3,F3)</f>
        <v>8400</v>
      </c>
    </row>
    <row r="4" spans="1:13" x14ac:dyDescent="0.25">
      <c r="A4" t="s">
        <v>29</v>
      </c>
      <c r="B4" t="s">
        <v>33</v>
      </c>
      <c r="C4" t="s">
        <v>31</v>
      </c>
      <c r="D4" t="b">
        <v>1</v>
      </c>
      <c r="E4" s="4">
        <v>28</v>
      </c>
      <c r="F4" s="4">
        <f>IF(D4=TRUE,E4*Setup!$B$4,E4)</f>
        <v>3360</v>
      </c>
      <c r="G4" s="4"/>
      <c r="H4" t="s">
        <v>34</v>
      </c>
      <c r="I4" s="4">
        <f>SUMIFS(Payments!D:D,Payments!B:B,B4,Payments!E:E,TRUE)</f>
        <v>0</v>
      </c>
      <c r="J4" s="4">
        <f>M4-I4</f>
        <v>3360</v>
      </c>
      <c r="K4" s="4" t="str">
        <f>IF(ISNUMBER(G4),F4-G4,"")</f>
        <v/>
      </c>
      <c r="L4" s="4">
        <f>IF(Setup!$B$4=0,0,M4/Setup!$B$4)</f>
        <v>28</v>
      </c>
      <c r="M4" s="4">
        <f>IF(ISNUMBER(G4),G4,F4)</f>
        <v>3360</v>
      </c>
    </row>
    <row r="5" spans="1:13" x14ac:dyDescent="0.25">
      <c r="A5" t="s">
        <v>29</v>
      </c>
      <c r="B5" t="s">
        <v>35</v>
      </c>
      <c r="C5" t="s">
        <v>31</v>
      </c>
      <c r="D5" t="b">
        <v>0</v>
      </c>
      <c r="E5" s="4">
        <v>1800</v>
      </c>
      <c r="F5" s="4">
        <f>IF(D5=TRUE,E5*Setup!$B$4,E5)</f>
        <v>1800</v>
      </c>
      <c r="G5" s="4"/>
      <c r="H5" t="s">
        <v>28</v>
      </c>
      <c r="I5" s="4">
        <f>SUMIFS(Payments!D:D,Payments!B:B,B5,Payments!E:E,TRUE)</f>
        <v>0</v>
      </c>
      <c r="J5" s="4">
        <f>M5-I5</f>
        <v>1800</v>
      </c>
      <c r="K5" s="4" t="str">
        <f>IF(ISNUMBER(G5),F5-G5,"")</f>
        <v/>
      </c>
      <c r="L5" s="4">
        <f>IF(Setup!$B$4=0,0,M5/Setup!$B$4)</f>
        <v>15</v>
      </c>
      <c r="M5" s="4">
        <f>IF(ISNUMBER(G5),G5,F5)</f>
        <v>1800</v>
      </c>
    </row>
    <row r="6" spans="1:13" x14ac:dyDescent="0.25">
      <c r="A6" t="s">
        <v>36</v>
      </c>
      <c r="B6" t="s">
        <v>37</v>
      </c>
      <c r="C6" t="s">
        <v>38</v>
      </c>
      <c r="D6" t="b">
        <v>0</v>
      </c>
      <c r="E6" s="4">
        <v>3200</v>
      </c>
      <c r="F6" s="4">
        <f>IF(D6=TRUE,E6*Setup!$B$4,E6)</f>
        <v>3200</v>
      </c>
      <c r="G6" s="4">
        <v>3400</v>
      </c>
      <c r="H6" t="s">
        <v>28</v>
      </c>
      <c r="I6" s="4">
        <f>SUMIFS(Payments!D:D,Payments!B:B,B6,Payments!E:E,TRUE)</f>
        <v>1000</v>
      </c>
      <c r="J6" s="4">
        <f>M6-I6</f>
        <v>2400</v>
      </c>
      <c r="K6" s="4">
        <f>IF(ISNUMBER(G6),F6-G6,"")</f>
        <v>-200</v>
      </c>
      <c r="L6" s="4">
        <f>IF(Setup!$B$4=0,0,M6/Setup!$B$4)</f>
        <v>28.333333333333332</v>
      </c>
      <c r="M6" s="4">
        <f>IF(ISNUMBER(G6),G6,F6)</f>
        <v>3400</v>
      </c>
    </row>
    <row r="7" spans="1:13" x14ac:dyDescent="0.25">
      <c r="A7" t="s">
        <v>36</v>
      </c>
      <c r="B7" t="s">
        <v>39</v>
      </c>
      <c r="D7" t="b">
        <v>0</v>
      </c>
      <c r="E7" s="4">
        <v>2200</v>
      </c>
      <c r="F7" s="4">
        <f>IF(D7=TRUE,E7*Setup!$B$4,E7)</f>
        <v>2200</v>
      </c>
      <c r="G7" s="4"/>
      <c r="H7" t="s">
        <v>28</v>
      </c>
      <c r="I7" s="4">
        <f>SUMIFS(Payments!D:D,Payments!B:B,B7,Payments!E:E,TRUE)</f>
        <v>0</v>
      </c>
      <c r="J7" s="4">
        <f>M7-I7</f>
        <v>2200</v>
      </c>
      <c r="K7" s="4" t="str">
        <f>IF(ISNUMBER(G7),F7-G7,"")</f>
        <v/>
      </c>
      <c r="L7" s="4">
        <f>IF(Setup!$B$4=0,0,M7/Setup!$B$4)</f>
        <v>18.333333333333332</v>
      </c>
      <c r="M7" s="4">
        <f>IF(ISNUMBER(G7),G7,F7)</f>
        <v>2200</v>
      </c>
    </row>
    <row r="8" spans="1:13" x14ac:dyDescent="0.25">
      <c r="A8" t="s">
        <v>40</v>
      </c>
      <c r="B8" t="s">
        <v>41</v>
      </c>
      <c r="C8" t="s">
        <v>42</v>
      </c>
      <c r="D8" t="b">
        <v>0</v>
      </c>
      <c r="E8" s="4">
        <v>1500</v>
      </c>
      <c r="F8" s="4">
        <f>IF(D8=TRUE,E8*Setup!$B$4,E8)</f>
        <v>1500</v>
      </c>
      <c r="G8" s="4">
        <v>1450</v>
      </c>
      <c r="H8" t="s">
        <v>28</v>
      </c>
      <c r="I8" s="4">
        <f>SUMIFS(Payments!D:D,Payments!B:B,B8,Payments!E:E,TRUE)</f>
        <v>500</v>
      </c>
      <c r="J8" s="4">
        <f>M8-I8</f>
        <v>950</v>
      </c>
      <c r="K8" s="4">
        <f>IF(ISNUMBER(G8),F8-G8,"")</f>
        <v>50</v>
      </c>
      <c r="L8" s="4">
        <f>IF(Setup!$B$4=0,0,M8/Setup!$B$4)</f>
        <v>12.083333333333334</v>
      </c>
      <c r="M8" s="4">
        <f>IF(ISNUMBER(G8),G8,F8)</f>
        <v>1450</v>
      </c>
    </row>
    <row r="9" spans="1:13" x14ac:dyDescent="0.25">
      <c r="A9" t="s">
        <v>43</v>
      </c>
      <c r="B9" t="s">
        <v>44</v>
      </c>
      <c r="C9" t="s">
        <v>45</v>
      </c>
      <c r="D9" t="b">
        <v>0</v>
      </c>
      <c r="E9" s="4">
        <v>2400</v>
      </c>
      <c r="F9" s="4">
        <f>IF(D9=TRUE,E9*Setup!$B$4,E9)</f>
        <v>2400</v>
      </c>
      <c r="G9" s="4">
        <v>2650</v>
      </c>
      <c r="H9" t="s">
        <v>32</v>
      </c>
      <c r="I9" s="4">
        <f>SUMIFS(Payments!D:D,Payments!B:B,B9,Payments!E:E,TRUE)</f>
        <v>0</v>
      </c>
      <c r="J9" s="4">
        <f>M9-I9</f>
        <v>2650</v>
      </c>
      <c r="K9" s="4">
        <f>IF(ISNUMBER(G9),F9-G9,"")</f>
        <v>-250</v>
      </c>
      <c r="L9" s="4">
        <f>IF(Setup!$B$4=0,0,M9/Setup!$B$4)</f>
        <v>22.083333333333332</v>
      </c>
      <c r="M9" s="4">
        <f>IF(ISNUMBER(G9),G9,F9)</f>
        <v>2650</v>
      </c>
    </row>
    <row r="10" spans="1:13" x14ac:dyDescent="0.25">
      <c r="A10" t="s">
        <v>46</v>
      </c>
      <c r="B10" t="s">
        <v>47</v>
      </c>
      <c r="C10" t="s">
        <v>48</v>
      </c>
      <c r="D10" t="b">
        <v>0</v>
      </c>
      <c r="E10" s="4">
        <v>1800</v>
      </c>
      <c r="F10" s="4">
        <f>IF(D10=TRUE,E10*Setup!$B$4,E10)</f>
        <v>1800</v>
      </c>
      <c r="G10" s="4">
        <v>1650</v>
      </c>
      <c r="H10" t="s">
        <v>32</v>
      </c>
      <c r="I10" s="4">
        <f>SUMIFS(Payments!D:D,Payments!B:B,B10,Payments!E:E,TRUE)</f>
        <v>825</v>
      </c>
      <c r="J10" s="4">
        <f>M10-I10</f>
        <v>825</v>
      </c>
      <c r="K10" s="4">
        <f>IF(ISNUMBER(G10),F10-G10,"")</f>
        <v>150</v>
      </c>
      <c r="L10" s="4">
        <f>IF(Setup!$B$4=0,0,M10/Setup!$B$4)</f>
        <v>13.75</v>
      </c>
      <c r="M10" s="4">
        <f>IF(ISNUMBER(G10),G10,F10)</f>
        <v>1650</v>
      </c>
    </row>
    <row r="11" spans="1:13" x14ac:dyDescent="0.25">
      <c r="A11" t="s">
        <v>46</v>
      </c>
      <c r="B11" t="s">
        <v>49</v>
      </c>
      <c r="C11" t="s">
        <v>48</v>
      </c>
      <c r="D11" t="b">
        <v>0</v>
      </c>
      <c r="E11" s="4">
        <v>300</v>
      </c>
      <c r="F11" s="4">
        <f>IF(D11=TRUE,E11*Setup!$B$4,E11)</f>
        <v>300</v>
      </c>
      <c r="G11" s="4"/>
      <c r="H11" t="s">
        <v>32</v>
      </c>
      <c r="I11" s="4">
        <f>SUMIFS(Payments!D:D,Payments!B:B,B11,Payments!E:E,TRUE)</f>
        <v>0</v>
      </c>
      <c r="J11" s="4">
        <f>M11-I11</f>
        <v>300</v>
      </c>
      <c r="K11" s="4" t="str">
        <f>IF(ISNUMBER(G11),F11-G11,"")</f>
        <v/>
      </c>
      <c r="L11" s="4">
        <f>IF(Setup!$B$4=0,0,M11/Setup!$B$4)</f>
        <v>2.5</v>
      </c>
      <c r="M11" s="4">
        <f>IF(ISNUMBER(G11),G11,F11)</f>
        <v>300</v>
      </c>
    </row>
    <row r="12" spans="1:13" x14ac:dyDescent="0.25">
      <c r="A12" t="s">
        <v>46</v>
      </c>
      <c r="B12" t="s">
        <v>50</v>
      </c>
      <c r="C12" t="s">
        <v>51</v>
      </c>
      <c r="D12" t="b">
        <v>0</v>
      </c>
      <c r="E12" s="4">
        <v>600</v>
      </c>
      <c r="F12" s="4">
        <f>IF(D12=TRUE,E12*Setup!$B$4,E12)</f>
        <v>600</v>
      </c>
      <c r="G12" s="4">
        <v>540</v>
      </c>
      <c r="H12" t="s">
        <v>28</v>
      </c>
      <c r="I12" s="4">
        <f>SUMIFS(Payments!D:D,Payments!B:B,B12,Payments!E:E,TRUE)</f>
        <v>0</v>
      </c>
      <c r="J12" s="4">
        <f>M12-I12</f>
        <v>540</v>
      </c>
      <c r="K12" s="4">
        <f>IF(ISNUMBER(G12),F12-G12,"")</f>
        <v>60</v>
      </c>
      <c r="L12" s="4">
        <f>IF(Setup!$B$4=0,0,M12/Setup!$B$4)</f>
        <v>4.5</v>
      </c>
      <c r="M12" s="4">
        <f>IF(ISNUMBER(G12),G12,F12)</f>
        <v>540</v>
      </c>
    </row>
    <row r="13" spans="1:13" x14ac:dyDescent="0.25">
      <c r="A13" t="s">
        <v>52</v>
      </c>
      <c r="B13" t="s">
        <v>53</v>
      </c>
      <c r="C13" t="s">
        <v>54</v>
      </c>
      <c r="D13" t="b">
        <v>0</v>
      </c>
      <c r="E13" s="4">
        <v>650</v>
      </c>
      <c r="F13" s="4">
        <f>IF(D13=TRUE,E13*Setup!$B$4,E13)</f>
        <v>650</v>
      </c>
      <c r="G13" s="4">
        <v>700</v>
      </c>
      <c r="H13" t="s">
        <v>28</v>
      </c>
      <c r="I13" s="4">
        <f>SUMIFS(Payments!D:D,Payments!B:B,B13,Payments!E:E,TRUE)</f>
        <v>0</v>
      </c>
      <c r="J13" s="4">
        <f>M13-I13</f>
        <v>700</v>
      </c>
      <c r="K13" s="4">
        <f>IF(ISNUMBER(G13),F13-G13,"")</f>
        <v>-50</v>
      </c>
      <c r="L13" s="4">
        <f>IF(Setup!$B$4=0,0,M13/Setup!$B$4)</f>
        <v>5.833333333333333</v>
      </c>
      <c r="M13" s="4">
        <f>IF(ISNUMBER(G13),G13,F13)</f>
        <v>700</v>
      </c>
    </row>
    <row r="14" spans="1:13" x14ac:dyDescent="0.25">
      <c r="A14" t="s">
        <v>55</v>
      </c>
      <c r="B14" t="s">
        <v>55</v>
      </c>
      <c r="C14" t="s">
        <v>56</v>
      </c>
      <c r="D14" t="b">
        <v>1</v>
      </c>
      <c r="E14" s="4">
        <v>6</v>
      </c>
      <c r="F14" s="4">
        <f>IF(D14=TRUE,E14*Setup!$B$4,E14)</f>
        <v>720</v>
      </c>
      <c r="G14" s="4">
        <v>690</v>
      </c>
      <c r="H14" t="s">
        <v>28</v>
      </c>
      <c r="I14" s="4">
        <f>SUMIFS(Payments!D:D,Payments!B:B,B14,Payments!E:E,TRUE)</f>
        <v>0</v>
      </c>
      <c r="J14" s="4">
        <f>M14-I14</f>
        <v>690</v>
      </c>
      <c r="K14" s="4">
        <f>IF(ISNUMBER(G14),F14-G14,"")</f>
        <v>30</v>
      </c>
      <c r="L14" s="4">
        <f>IF(Setup!$B$4=0,0,M14/Setup!$B$4)</f>
        <v>5.75</v>
      </c>
      <c r="M14" s="4">
        <f>IF(ISNUMBER(G14),G14,F14)</f>
        <v>690</v>
      </c>
    </row>
    <row r="15" spans="1:13" x14ac:dyDescent="0.25">
      <c r="A15" t="s">
        <v>57</v>
      </c>
      <c r="B15" t="s">
        <v>58</v>
      </c>
      <c r="C15" t="s">
        <v>59</v>
      </c>
      <c r="D15" t="b">
        <v>0</v>
      </c>
      <c r="E15" s="4">
        <v>450</v>
      </c>
      <c r="F15" s="4">
        <f>IF(D15=TRUE,E15*Setup!$B$4,E15)</f>
        <v>450</v>
      </c>
      <c r="G15" s="4"/>
      <c r="H15" t="s">
        <v>28</v>
      </c>
      <c r="I15" s="4">
        <f>SUMIFS(Payments!D:D,Payments!B:B,B15,Payments!E:E,TRUE)</f>
        <v>0</v>
      </c>
      <c r="J15" s="4">
        <f>M15-I15</f>
        <v>450</v>
      </c>
      <c r="K15" s="4" t="str">
        <f>IF(ISNUMBER(G15),F15-G15,"")</f>
        <v/>
      </c>
      <c r="L15" s="4">
        <f>IF(Setup!$B$4=0,0,M15/Setup!$B$4)</f>
        <v>3.75</v>
      </c>
      <c r="M15" s="4">
        <f>IF(ISNUMBER(G15),G15,F15)</f>
        <v>450</v>
      </c>
    </row>
    <row r="16" spans="1:13" x14ac:dyDescent="0.25">
      <c r="A16" t="s">
        <v>60</v>
      </c>
      <c r="B16" t="s">
        <v>61</v>
      </c>
      <c r="C16" t="s">
        <v>62</v>
      </c>
      <c r="D16" t="b">
        <v>1</v>
      </c>
      <c r="E16" s="4">
        <v>12</v>
      </c>
      <c r="F16" s="4">
        <f>IF(D16=TRUE,E16*Setup!$B$4,E16)</f>
        <v>1440</v>
      </c>
      <c r="G16" s="4">
        <v>1380</v>
      </c>
      <c r="H16" t="s">
        <v>28</v>
      </c>
      <c r="I16" s="4">
        <f>SUMIFS(Payments!D:D,Payments!B:B,B16,Payments!E:E,TRUE)</f>
        <v>0</v>
      </c>
      <c r="J16" s="4">
        <f>M16-I16</f>
        <v>1380</v>
      </c>
      <c r="K16" s="4">
        <f>IF(ISNUMBER(G16),F16-G16,"")</f>
        <v>60</v>
      </c>
      <c r="L16" s="4">
        <f>IF(Setup!$B$4=0,0,M16/Setup!$B$4)</f>
        <v>11.5</v>
      </c>
      <c r="M16" s="4">
        <f>IF(ISNUMBER(G16),G16,F16)</f>
        <v>1380</v>
      </c>
    </row>
    <row r="17" spans="1:13" x14ac:dyDescent="0.25">
      <c r="A17" t="s">
        <v>63</v>
      </c>
      <c r="B17" t="s">
        <v>64</v>
      </c>
      <c r="C17" t="s">
        <v>65</v>
      </c>
      <c r="D17" t="b">
        <v>0</v>
      </c>
      <c r="E17" s="4">
        <v>400</v>
      </c>
      <c r="F17" s="4">
        <f>IF(D17=TRUE,E17*Setup!$B$4,E17)</f>
        <v>400</v>
      </c>
      <c r="G17" s="4">
        <v>400</v>
      </c>
      <c r="H17" t="s">
        <v>28</v>
      </c>
      <c r="I17" s="4">
        <f>SUMIFS(Payments!D:D,Payments!B:B,B17,Payments!E:E,TRUE)</f>
        <v>0</v>
      </c>
      <c r="J17" s="4">
        <f>M17-I17</f>
        <v>400</v>
      </c>
      <c r="K17" s="4">
        <f>IF(ISNUMBER(G17),F17-G17,"")</f>
        <v>0</v>
      </c>
      <c r="L17" s="4">
        <f>IF(Setup!$B$4=0,0,M17/Setup!$B$4)</f>
        <v>3.3333333333333335</v>
      </c>
      <c r="M17" s="4">
        <f>IF(ISNUMBER(G17),G17,F17)</f>
        <v>400</v>
      </c>
    </row>
    <row r="18" spans="1:13" x14ac:dyDescent="0.25">
      <c r="A18" t="s">
        <v>63</v>
      </c>
      <c r="B18" t="s">
        <v>66</v>
      </c>
      <c r="C18" t="s">
        <v>67</v>
      </c>
      <c r="D18" t="b">
        <v>0</v>
      </c>
      <c r="E18" s="4">
        <v>60</v>
      </c>
      <c r="F18" s="4">
        <f>IF(D18=TRUE,E18*Setup!$B$4,E18)</f>
        <v>60</v>
      </c>
      <c r="G18" s="4">
        <v>60</v>
      </c>
      <c r="H18" t="s">
        <v>28</v>
      </c>
      <c r="I18" s="4">
        <f>SUMIFS(Payments!D:D,Payments!B:B,B18,Payments!E:E,TRUE)</f>
        <v>0</v>
      </c>
      <c r="J18" s="4">
        <f>M18-I18</f>
        <v>60</v>
      </c>
      <c r="K18" s="4">
        <f>IF(ISNUMBER(G18),F18-G18,"")</f>
        <v>0</v>
      </c>
      <c r="L18" s="4">
        <f>IF(Setup!$B$4=0,0,M18/Setup!$B$4)</f>
        <v>0.5</v>
      </c>
      <c r="M18" s="4">
        <f>IF(ISNUMBER(G18),G18,F18)</f>
        <v>60</v>
      </c>
    </row>
    <row r="19" spans="1:13" x14ac:dyDescent="0.25">
      <c r="A19" t="s">
        <v>68</v>
      </c>
      <c r="B19" t="s">
        <v>69</v>
      </c>
      <c r="C19" t="s">
        <v>70</v>
      </c>
      <c r="D19" t="b">
        <v>0</v>
      </c>
      <c r="E19" s="4">
        <v>1600</v>
      </c>
      <c r="F19" s="4">
        <f>IF(D19=TRUE,E19*Setup!$B$4,E19)</f>
        <v>1600</v>
      </c>
      <c r="G19" s="4">
        <v>1720</v>
      </c>
      <c r="H19" t="s">
        <v>28</v>
      </c>
      <c r="I19" s="4">
        <f>SUMIFS(Payments!D:D,Payments!B:B,B19,Payments!E:E,TRUE)</f>
        <v>1720</v>
      </c>
      <c r="J19" s="4">
        <f>M19-I19</f>
        <v>0</v>
      </c>
      <c r="K19" s="4">
        <f>IF(ISNUMBER(G19),F19-G19,"")</f>
        <v>-120</v>
      </c>
      <c r="L19" s="4">
        <f>IF(Setup!$B$4=0,0,M19/Setup!$B$4)</f>
        <v>14.333333333333334</v>
      </c>
      <c r="M19" s="4">
        <f>IF(ISNUMBER(G19),G19,F19)</f>
        <v>1720</v>
      </c>
    </row>
    <row r="20" spans="1:13" x14ac:dyDescent="0.25">
      <c r="A20" t="s">
        <v>71</v>
      </c>
      <c r="B20" t="s">
        <v>72</v>
      </c>
      <c r="C20" t="s">
        <v>73</v>
      </c>
      <c r="D20" t="b">
        <v>1</v>
      </c>
      <c r="E20" s="4">
        <v>3</v>
      </c>
      <c r="F20" s="4">
        <f>IF(D20=TRUE,E20*Setup!$B$4,E20)</f>
        <v>360</v>
      </c>
      <c r="G20" s="4"/>
      <c r="H20" t="s">
        <v>28</v>
      </c>
      <c r="I20" s="4">
        <f>SUMIFS(Payments!D:D,Payments!B:B,B20,Payments!E:E,TRUE)</f>
        <v>0</v>
      </c>
      <c r="J20" s="4">
        <f>M20-I20</f>
        <v>360</v>
      </c>
      <c r="K20" s="4" t="str">
        <f>IF(ISNUMBER(G20),F20-G20,"")</f>
        <v/>
      </c>
      <c r="L20" s="4">
        <f>IF(Setup!$B$4=0,0,M20/Setup!$B$4)</f>
        <v>3</v>
      </c>
      <c r="M20" s="4">
        <f>IF(ISNUMBER(G20),G20,F20)</f>
        <v>360</v>
      </c>
    </row>
    <row r="21" spans="1:13" x14ac:dyDescent="0.25">
      <c r="A21" t="s">
        <v>71</v>
      </c>
      <c r="B21" t="s">
        <v>74</v>
      </c>
      <c r="C21" t="s">
        <v>75</v>
      </c>
      <c r="D21" t="b">
        <v>0</v>
      </c>
      <c r="E21" s="4">
        <v>650</v>
      </c>
      <c r="F21" s="4">
        <f>IF(D21=TRUE,E21*Setup!$B$4,E21)</f>
        <v>650</v>
      </c>
      <c r="G21" s="4"/>
      <c r="H21" t="s">
        <v>34</v>
      </c>
      <c r="I21" s="4">
        <f>SUMIFS(Payments!D:D,Payments!B:B,B21,Payments!E:E,TRUE)</f>
        <v>0</v>
      </c>
      <c r="J21" s="4">
        <f>M21-I21</f>
        <v>650</v>
      </c>
      <c r="K21" s="4" t="str">
        <f>IF(ISNUMBER(G21),F21-G21,"")</f>
        <v/>
      </c>
      <c r="L21" s="4">
        <f>IF(Setup!$B$4=0,0,M21/Setup!$B$4)</f>
        <v>5.416666666666667</v>
      </c>
      <c r="M21" s="4">
        <f>IF(ISNUMBER(G21),G21,F21)</f>
        <v>650</v>
      </c>
    </row>
    <row r="22" spans="1:13" x14ac:dyDescent="0.25">
      <c r="A22" t="s">
        <v>71</v>
      </c>
      <c r="B22" t="s">
        <v>76</v>
      </c>
      <c r="C22" t="s">
        <v>77</v>
      </c>
      <c r="D22" t="b">
        <v>0</v>
      </c>
      <c r="E22" s="4">
        <v>1500</v>
      </c>
      <c r="F22" s="4">
        <f>IF(D22=TRUE,E22*Setup!$B$4,E22)</f>
        <v>1500</v>
      </c>
      <c r="G22" s="4"/>
      <c r="H22" t="s">
        <v>34</v>
      </c>
      <c r="I22" s="4">
        <f>SUMIFS(Payments!D:D,Payments!B:B,B22,Payments!E:E,TRUE)</f>
        <v>0</v>
      </c>
      <c r="J22" s="4">
        <f>M22-I22</f>
        <v>1500</v>
      </c>
      <c r="K22" s="4" t="str">
        <f>IF(ISNUMBER(G22),F22-G22,"")</f>
        <v/>
      </c>
      <c r="L22" s="4">
        <f>IF(Setup!$B$4=0,0,M22/Setup!$B$4)</f>
        <v>12.5</v>
      </c>
      <c r="M22" s="4">
        <f>IF(ISNUMBER(G22),G22,F22)</f>
        <v>1500</v>
      </c>
    </row>
    <row r="23" spans="1:13" x14ac:dyDescent="0.25">
      <c r="A23" t="s">
        <v>78</v>
      </c>
      <c r="B23" t="s">
        <v>79</v>
      </c>
      <c r="D23" t="b">
        <v>0</v>
      </c>
      <c r="E23" s="4">
        <v>1500</v>
      </c>
      <c r="F23" s="4">
        <f>IF(D23=TRUE,E23*Setup!$B$4,E23)</f>
        <v>1500</v>
      </c>
      <c r="G23" s="4"/>
      <c r="H23" t="s">
        <v>28</v>
      </c>
      <c r="I23" s="4">
        <f>SUMIFS(Payments!D:D,Payments!B:B,B23,Payments!E:E,TRUE)</f>
        <v>0</v>
      </c>
      <c r="J23" s="4">
        <f>M23-I23</f>
        <v>1500</v>
      </c>
      <c r="K23" s="4" t="str">
        <f>IF(ISNUMBER(G23),F23-G23,"")</f>
        <v/>
      </c>
      <c r="L23" s="4">
        <f>IF(Setup!$B$4=0,0,M23/Setup!$B$4)</f>
        <v>12.5</v>
      </c>
      <c r="M23" s="4">
        <f>IF(ISNUMBER(G23),G23,F23)</f>
        <v>1500</v>
      </c>
    </row>
    <row r="24" spans="4:4" x14ac:dyDescent="0.25"/>
    <row r="25" spans="4:4" x14ac:dyDescent="0.25"/>
    <row r="26" spans="4:4" x14ac:dyDescent="0.25"/>
    <row r="27" spans="4:4" x14ac:dyDescent="0.25"/>
    <row r="28" spans="4:4" x14ac:dyDescent="0.25"/>
    <row r="29" spans="4:4" x14ac:dyDescent="0.25"/>
    <row r="30" spans="4:4" x14ac:dyDescent="0.25"/>
    <row r="31" spans="4:4" x14ac:dyDescent="0.25"/>
    <row r="32" spans="4:4" x14ac:dyDescent="0.25"/>
    <row r="33" spans="4:4" x14ac:dyDescent="0.25"/>
    <row r="34" spans="4:4" x14ac:dyDescent="0.25"/>
    <row r="35" spans="4:4" x14ac:dyDescent="0.25"/>
    <row r="36" spans="4:4" x14ac:dyDescent="0.25"/>
    <row r="37" spans="4:4" x14ac:dyDescent="0.25"/>
    <row r="38" spans="4:4" x14ac:dyDescent="0.25"/>
    <row r="39" spans="4:4" x14ac:dyDescent="0.25"/>
    <row r="40" spans="4:4" x14ac:dyDescent="0.25"/>
    <row r="41" spans="4:4" x14ac:dyDescent="0.25"/>
    <row r="42" spans="4:4" x14ac:dyDescent="0.25"/>
    <row r="43" spans="4:4" x14ac:dyDescent="0.25"/>
    <row r="44" spans="4:4" x14ac:dyDescent="0.25"/>
    <row r="45" spans="4:4" x14ac:dyDescent="0.25"/>
    <row r="46" spans="4:4" x14ac:dyDescent="0.25"/>
    <row r="47" spans="4:4" x14ac:dyDescent="0.25"/>
    <row r="48" spans="4:4" x14ac:dyDescent="0.25"/>
    <row r="49" spans="4:4" x14ac:dyDescent="0.25"/>
    <row r="50" spans="4:4" x14ac:dyDescent="0.25"/>
  </sheetData>
  <dataValidations count="2">
    <dataValidation type="list" allowBlank="1" sqref="D10:D50">
      <formula1>"TRUE,FALSE"</formula1>
    </dataValidation>
    <dataValidation type="list" allowBlank="1" sqref="D2:D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8" customWidth="1"/>
    <col min="3" max="3" width="14" customWidth="1"/>
    <col min="4" max="4" width="11" customWidth="1"/>
    <col min="5" max="5" width="7" customWidth="1"/>
    <col min="6" max="6" width="11" customWidth="1"/>
    <col min="7" max="7" width="14" customWidth="1"/>
    <col min="8" max="8" width="28" customWidth="1"/>
  </cols>
  <sheetData>
    <row r="1" spans="1:8" s="1" customFormat="1" x14ac:dyDescent="0.25">
      <c r="A1" s="1" t="s">
        <v>80</v>
      </c>
      <c r="B1" s="1" t="s">
        <v>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</row>
    <row r="2" spans="1:8" x14ac:dyDescent="0.25">
      <c r="A2" s="2">
        <v>46218</v>
      </c>
      <c r="B2" t="s">
        <v>26</v>
      </c>
      <c r="C2" t="s">
        <v>87</v>
      </c>
      <c r="D2" s="4">
        <v>3000</v>
      </c>
      <c r="E2" t="b">
        <v>1</v>
      </c>
      <c r="F2" t="str">
        <f>IF(ISBLANK(A2),"",IF(E2=TRUE,"Paid",IF(A2&lt;Setup!$B$3,"Overdue",IF(A2-Setup!$B$3&lt;=30,"Due soon","Upcoming"))))</f>
        <v>Paid</v>
      </c>
      <c r="G2" t="str">
        <f>IF(COUNTIF(Budget!B2:B200,B2)&gt;0,"Yes","Check item name")</f>
        <v>Yes</v>
      </c>
    </row>
    <row r="3" spans="1:8" x14ac:dyDescent="0.25">
      <c r="A3" s="2">
        <v>46244</v>
      </c>
      <c r="B3" t="s">
        <v>37</v>
      </c>
      <c r="C3" t="s">
        <v>88</v>
      </c>
      <c r="D3" s="4">
        <v>1000</v>
      </c>
      <c r="E3" t="b">
        <v>1</v>
      </c>
      <c r="F3" t="str">
        <f>IF(ISBLANK(A3),"",IF(E3=TRUE,"Paid",IF(A3&lt;Setup!$B$3,"Overdue",IF(A3-Setup!$B$3&lt;=30,"Due soon","Upcoming"))))</f>
        <v>Paid</v>
      </c>
      <c r="G3" t="str">
        <f>IF(COUNTIF(Budget!B2:B200,B3)&gt;0,"Yes","Check item name")</f>
        <v>Yes</v>
      </c>
    </row>
    <row r="4" spans="1:8" x14ac:dyDescent="0.25">
      <c r="A4" s="2">
        <v>46266</v>
      </c>
      <c r="B4" t="s">
        <v>30</v>
      </c>
      <c r="C4" t="s">
        <v>87</v>
      </c>
      <c r="D4" s="4">
        <v>1500</v>
      </c>
      <c r="E4" t="b">
        <v>1</v>
      </c>
      <c r="F4" t="str">
        <f>IF(ISBLANK(A4),"",IF(E4=TRUE,"Paid",IF(A4&lt;Setup!$B$3,"Overdue",IF(A4-Setup!$B$3&lt;=30,"Due soon","Upcoming"))))</f>
        <v>Paid</v>
      </c>
      <c r="G4" t="str">
        <f>IF(COUNTIF(Budget!B2:B200,B4)&gt;0,"Yes","Check item name")</f>
        <v>Yes</v>
      </c>
    </row>
    <row r="5" spans="1:8" x14ac:dyDescent="0.25">
      <c r="A5" s="2">
        <v>46285</v>
      </c>
      <c r="B5" t="s">
        <v>47</v>
      </c>
      <c r="C5" t="s">
        <v>87</v>
      </c>
      <c r="D5" s="4">
        <v>825</v>
      </c>
      <c r="E5" t="b">
        <v>1</v>
      </c>
      <c r="F5" t="str">
        <f>IF(ISBLANK(A5),"",IF(E5=TRUE,"Paid",IF(A5&lt;Setup!$B$3,"Overdue",IF(A5-Setup!$B$3&lt;=30,"Due soon","Upcoming"))))</f>
        <v>Paid</v>
      </c>
      <c r="G5" t="str">
        <f>IF(COUNTIF(Budget!B2:B200,B5)&gt;0,"Yes","Check item name")</f>
        <v>Yes</v>
      </c>
    </row>
    <row r="6" spans="1:8" x14ac:dyDescent="0.25">
      <c r="A6" s="2">
        <v>46296</v>
      </c>
      <c r="B6" t="s">
        <v>41</v>
      </c>
      <c r="C6" t="s">
        <v>87</v>
      </c>
      <c r="D6" s="4">
        <v>500</v>
      </c>
      <c r="E6" t="b">
        <v>1</v>
      </c>
      <c r="F6" t="str">
        <f>IF(ISBLANK(A6),"",IF(E6=TRUE,"Paid",IF(A6&lt;Setup!$B$3,"Overdue",IF(A6-Setup!$B$3&lt;=30,"Due soon","Upcoming"))))</f>
        <v>Paid</v>
      </c>
      <c r="G6" t="str">
        <f>IF(COUNTIF(Budget!B2:B200,B6)&gt;0,"Yes","Check item name")</f>
        <v>Yes</v>
      </c>
    </row>
    <row r="7" spans="1:8" x14ac:dyDescent="0.25">
      <c r="A7" s="2">
        <v>46300</v>
      </c>
      <c r="B7" t="s">
        <v>69</v>
      </c>
      <c r="C7" t="s">
        <v>89</v>
      </c>
      <c r="D7" s="4">
        <v>1720</v>
      </c>
      <c r="E7" t="b">
        <v>1</v>
      </c>
      <c r="F7" t="str">
        <f>IF(ISBLANK(A7),"",IF(E7=TRUE,"Paid",IF(A7&lt;Setup!$B$3,"Overdue",IF(A7-Setup!$B$3&lt;=30,"Due soon","Upcoming"))))</f>
        <v>Paid</v>
      </c>
      <c r="G7" t="str">
        <f>IF(COUNTIF(Budget!B2:B200,B7)&gt;0,"Yes","Check item name")</f>
        <v>Yes</v>
      </c>
    </row>
    <row r="8" spans="1:8" x14ac:dyDescent="0.25">
      <c r="A8" s="2">
        <v>46305</v>
      </c>
      <c r="B8" t="s">
        <v>53</v>
      </c>
      <c r="C8" t="s">
        <v>87</v>
      </c>
      <c r="D8" s="4">
        <v>200</v>
      </c>
      <c r="E8" t="b">
        <v>0</v>
      </c>
      <c r="F8" t="str">
        <f>IF(ISBLANK(A8),"",IF(E8=TRUE,"Paid",IF(A8&lt;Setup!$B$3,"Overdue",IF(A8-Setup!$B$3&lt;=30,"Due soon","Upcoming"))))</f>
        <v>Overdue</v>
      </c>
      <c r="G8" t="str">
        <f>IF(COUNTIF(Budget!B2:B200,B8)&gt;0,"Yes","Check item name")</f>
        <v>Yes</v>
      </c>
      <c r="H8" t="s">
        <v>90</v>
      </c>
    </row>
    <row r="9" spans="1:8" x14ac:dyDescent="0.25">
      <c r="A9" s="2">
        <v>46320</v>
      </c>
      <c r="B9" t="s">
        <v>44</v>
      </c>
      <c r="C9" t="s">
        <v>87</v>
      </c>
      <c r="D9" s="4">
        <v>650</v>
      </c>
      <c r="E9" t="b">
        <v>0</v>
      </c>
      <c r="F9" t="str">
        <f>IF(ISBLANK(A9),"",IF(E9=TRUE,"Paid",IF(A9&lt;Setup!$B$3,"Overdue",IF(A9-Setup!$B$3&lt;=30,"Due soon","Upcoming"))))</f>
        <v>Due soon</v>
      </c>
      <c r="G9" t="str">
        <f>IF(COUNTIF(Budget!B2:B200,B9)&gt;0,"Yes","Check item name")</f>
        <v>Yes</v>
      </c>
    </row>
    <row r="10" spans="1:8" x14ac:dyDescent="0.25">
      <c r="A10" s="2">
        <v>46341</v>
      </c>
      <c r="B10" t="s">
        <v>47</v>
      </c>
      <c r="C10" t="s">
        <v>91</v>
      </c>
      <c r="D10" s="4">
        <v>825</v>
      </c>
      <c r="E10" t="b">
        <v>0</v>
      </c>
      <c r="F10" t="str">
        <f>IF(ISBLANK(A10),"",IF(E10=TRUE,"Paid",IF(A10&lt;Setup!$B$3,"Overdue",IF(A10-Setup!$B$3&lt;=30,"Due soon","Upcoming"))))</f>
        <v>Due soon</v>
      </c>
      <c r="G10" t="str">
        <f>IF(COUNTIF(Budget!B2:B200,B10)&gt;0,"Yes","Check item name")</f>
        <v>Yes</v>
      </c>
      <c r="H10" t="s">
        <v>92</v>
      </c>
    </row>
    <row r="11" spans="1:8" x14ac:dyDescent="0.25">
      <c r="A11" s="2">
        <v>46371</v>
      </c>
      <c r="B11" t="s">
        <v>26</v>
      </c>
      <c r="C11" t="s">
        <v>93</v>
      </c>
      <c r="D11" s="4">
        <v>3400</v>
      </c>
      <c r="E11" t="b">
        <v>0</v>
      </c>
      <c r="F11" t="str">
        <f>IF(ISBLANK(A11),"",IF(E11=TRUE,"Paid",IF(A11&lt;Setup!$B$3,"Overdue",IF(A11-Setup!$B$3&lt;=30,"Due soon","Upcoming"))))</f>
        <v>Upcoming</v>
      </c>
      <c r="G11" t="str">
        <f>IF(COUNTIF(Budget!B2:B200,B11)&gt;0,"Yes","Check item name")</f>
        <v>Yes</v>
      </c>
    </row>
    <row r="12" spans="1:8" x14ac:dyDescent="0.25">
      <c r="A12" s="2">
        <v>46402</v>
      </c>
      <c r="B12" t="s">
        <v>55</v>
      </c>
      <c r="C12" t="s">
        <v>87</v>
      </c>
      <c r="D12" s="4">
        <v>200</v>
      </c>
      <c r="E12" t="b">
        <v>0</v>
      </c>
      <c r="F12" t="str">
        <f>IF(ISBLANK(A12),"",IF(E12=TRUE,"Paid",IF(A12&lt;Setup!$B$3,"Overdue",IF(A12-Setup!$B$3&lt;=30,"Due soon","Upcoming"))))</f>
        <v>Upcoming</v>
      </c>
      <c r="G12" t="str">
        <f>IF(COUNTIF(Budget!B2:B200,B12)&gt;0,"Yes","Check item name")</f>
        <v>Yes</v>
      </c>
    </row>
    <row r="13" spans="1:8" x14ac:dyDescent="0.25">
      <c r="A13" s="2">
        <v>46419</v>
      </c>
      <c r="B13" t="s">
        <v>61</v>
      </c>
      <c r="C13" t="s">
        <v>87</v>
      </c>
      <c r="D13" s="4">
        <v>400</v>
      </c>
      <c r="E13" t="b">
        <v>0</v>
      </c>
      <c r="F13" t="str">
        <f>IF(ISBLANK(A13),"",IF(E13=TRUE,"Paid",IF(A13&lt;Setup!$B$3,"Overdue",IF(A13-Setup!$B$3&lt;=30,"Due soon","Upcoming"))))</f>
        <v>Upcoming</v>
      </c>
      <c r="G13" t="str">
        <f>IF(COUNTIF(Budget!B2:B200,B13)&gt;0,"Yes","Check item name")</f>
        <v>Yes</v>
      </c>
    </row>
    <row r="14" spans="1:8" x14ac:dyDescent="0.25">
      <c r="A14" s="2">
        <v>46478</v>
      </c>
      <c r="B14" t="s">
        <v>50</v>
      </c>
      <c r="C14" t="s">
        <v>89</v>
      </c>
      <c r="D14" s="4">
        <v>540</v>
      </c>
      <c r="E14" t="b">
        <v>0</v>
      </c>
      <c r="F14" t="str">
        <f>IF(ISBLANK(A14),"",IF(E14=TRUE,"Paid",IF(A14&lt;Setup!$B$3,"Overdue",IF(A14-Setup!$B$3&lt;=30,"Due soon","Upcoming"))))</f>
        <v>Upcoming</v>
      </c>
      <c r="G14" t="str">
        <f>IF(COUNTIF(Budget!B2:B200,B14)&gt;0,"Yes","Check item name")</f>
        <v>Yes</v>
      </c>
    </row>
    <row r="15" spans="1:8" x14ac:dyDescent="0.25">
      <c r="A15" s="2">
        <v>46519</v>
      </c>
      <c r="B15" t="s">
        <v>26</v>
      </c>
      <c r="C15" t="s">
        <v>94</v>
      </c>
      <c r="D15" s="4">
        <v>3400</v>
      </c>
      <c r="E15" t="b">
        <v>0</v>
      </c>
      <c r="F15" t="str">
        <f>IF(ISBLANK(A15),"",IF(E15=TRUE,"Paid",IF(A15&lt;Setup!$B$3,"Overdue",IF(A15-Setup!$B$3&lt;=30,"Due soon","Upcoming"))))</f>
        <v>Upcoming</v>
      </c>
      <c r="G15" t="str">
        <f>IF(COUNTIF(Budget!B2:B200,B15)&gt;0,"Yes","Check item name")</f>
        <v>Yes</v>
      </c>
    </row>
    <row r="16" spans="1:8" x14ac:dyDescent="0.25">
      <c r="A16" s="2">
        <v>46527</v>
      </c>
      <c r="B16" t="s">
        <v>66</v>
      </c>
      <c r="C16" t="s">
        <v>95</v>
      </c>
      <c r="D16" s="4">
        <v>60</v>
      </c>
      <c r="E16" t="b">
        <v>0</v>
      </c>
      <c r="F16" t="str">
        <f>IF(ISBLANK(A16),"",IF(E16=TRUE,"Paid",IF(A16&lt;Setup!$B$3,"Overdue",IF(A16-Setup!$B$3&lt;=30,"Due soon","Upcoming"))))</f>
        <v>Upcoming</v>
      </c>
      <c r="G16" t="str">
        <f>IF(COUNTIF(Budget!B2:B200,B16)&gt;0,"Yes","Check item name")</f>
        <v>Yes</v>
      </c>
      <c r="H16" t="s">
        <v>96</v>
      </c>
    </row>
    <row r="17" spans="1:8" x14ac:dyDescent="0.25">
      <c r="A17" s="2">
        <v>46536</v>
      </c>
      <c r="B17" t="s">
        <v>30</v>
      </c>
      <c r="C17" t="s">
        <v>94</v>
      </c>
      <c r="D17" s="4">
        <v>6900</v>
      </c>
      <c r="E17" t="b">
        <v>0</v>
      </c>
      <c r="F17" t="str">
        <f>IF(ISBLANK(A17),"",IF(E17=TRUE,"Paid",IF(A17&lt;Setup!$B$3,"Overdue",IF(A17-Setup!$B$3&lt;=30,"Due soon","Upcoming"))))</f>
        <v>Upcoming</v>
      </c>
      <c r="G17" t="str">
        <f>IF(COUNTIF(Budget!B2:B200,B17)&gt;0,"Yes","Check item name")</f>
        <v>Yes</v>
      </c>
      <c r="H17" t="s">
        <v>97</v>
      </c>
    </row>
    <row r="18" spans="1:8" x14ac:dyDescent="0.25">
      <c r="A18" s="2">
        <v>46536</v>
      </c>
      <c r="B18" t="s">
        <v>37</v>
      </c>
      <c r="C18" t="s">
        <v>91</v>
      </c>
      <c r="D18" s="4">
        <v>2400</v>
      </c>
      <c r="E18" t="b">
        <v>0</v>
      </c>
      <c r="F18" t="str">
        <f>IF(ISBLANK(A18),"",IF(E18=TRUE,"Paid",IF(A18&lt;Setup!$B$3,"Overdue",IF(A18-Setup!$B$3&lt;=30,"Due soon","Upcoming"))))</f>
        <v>Upcoming</v>
      </c>
      <c r="G18" t="str">
        <f>IF(COUNTIF(Budget!B2:B200,B18)&gt;0,"Yes","Check item name")</f>
        <v>Yes</v>
      </c>
    </row>
    <row r="19" spans="1:8" x14ac:dyDescent="0.25">
      <c r="A19" s="2">
        <v>46536</v>
      </c>
      <c r="B19" t="s">
        <v>44</v>
      </c>
      <c r="C19" t="s">
        <v>91</v>
      </c>
      <c r="D19" s="4">
        <v>2000</v>
      </c>
      <c r="E19" t="b">
        <v>0</v>
      </c>
      <c r="F19" t="str">
        <f>IF(ISBLANK(A19),"",IF(E19=TRUE,"Paid",IF(A19&lt;Setup!$B$3,"Overdue",IF(A19-Setup!$B$3&lt;=30,"Due soon","Upcoming"))))</f>
        <v>Upcoming</v>
      </c>
      <c r="G19" t="str">
        <f>IF(COUNTIF(Budget!B2:B200,B19)&gt;0,"Yes","Check item name")</f>
        <v>Yes</v>
      </c>
    </row>
    <row r="20" spans="1:8" x14ac:dyDescent="0.25">
      <c r="A20" s="2">
        <v>46539</v>
      </c>
      <c r="B20" t="s">
        <v>41</v>
      </c>
      <c r="C20" t="s">
        <v>91</v>
      </c>
      <c r="D20" s="4">
        <v>950</v>
      </c>
      <c r="E20" t="b">
        <v>0</v>
      </c>
      <c r="F20" t="str">
        <f>IF(ISBLANK(A20),"",IF(E20=TRUE,"Paid",IF(A20&lt;Setup!$B$3,"Overdue",IF(A20-Setup!$B$3&lt;=30,"Due soon","Upcoming"))))</f>
        <v>Upcoming</v>
      </c>
      <c r="G20" t="str">
        <f>IF(COUNTIF(Budget!B2:B200,B20)&gt;0,"Yes","Check item name")</f>
        <v>Yes</v>
      </c>
    </row>
    <row r="21" spans="1:8" x14ac:dyDescent="0.25">
      <c r="A21" s="2">
        <v>46539</v>
      </c>
      <c r="B21" t="s">
        <v>64</v>
      </c>
      <c r="C21" t="s">
        <v>89</v>
      </c>
      <c r="D21" s="4">
        <v>400</v>
      </c>
      <c r="E21" t="b">
        <v>0</v>
      </c>
      <c r="F21" t="str">
        <f>IF(ISBLANK(A21),"",IF(E21=TRUE,"Paid",IF(A21&lt;Setup!$B$3,"Overdue",IF(A21-Setup!$B$3&lt;=30,"Due soon","Upcoming"))))</f>
        <v>Upcoming</v>
      </c>
      <c r="G21" t="str">
        <f>IF(COUNTIF(Budget!B2:B200,B21)&gt;0,"Yes","Check item name")</f>
        <v>Yes</v>
      </c>
    </row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</sheetData>
  <dataValidations count="2">
    <dataValidation type="list" allowBlank="1" sqref="E10:E50">
      <formula1>"TRUE,FALSE"</formula1>
    </dataValidation>
    <dataValidation type="list" allowBlank="1" sqref="E2:E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7" customWidth="1"/>
    <col min="4" max="5" width="12" customWidth="1"/>
    <col min="6" max="6" width="15" customWidth="1"/>
    <col min="7" max="7" width="11" customWidth="1"/>
  </cols>
  <sheetData>
    <row r="1" spans="1:7" s="1" customFormat="1" x14ac:dyDescent="0.25">
      <c r="A1" s="1" t="s">
        <v>16</v>
      </c>
      <c r="B1" s="1" t="s">
        <v>20</v>
      </c>
      <c r="C1" s="1" t="s">
        <v>98</v>
      </c>
      <c r="D1" s="1" t="s">
        <v>8</v>
      </c>
      <c r="E1" s="1" t="s">
        <v>9</v>
      </c>
      <c r="F1" s="1" t="s">
        <v>99</v>
      </c>
      <c r="G1" s="1" t="s">
        <v>18</v>
      </c>
    </row>
    <row r="2" spans="1:7" x14ac:dyDescent="0.25">
      <c r="A2" t="s">
        <v>25</v>
      </c>
      <c r="B2" s="4">
        <f>SUMIFS(Budget!F2:F200,Budget!A2:A200,A2)</f>
        <v>9800</v>
      </c>
      <c r="C2" s="4">
        <f>SUMIFS(Budget!M2:M200,Budget!A2:A200,A2)</f>
        <v>9800</v>
      </c>
      <c r="D2" s="4">
        <f>SUMIFS(Budget!I2:I200,Budget!A2:A200,A2)</f>
        <v>3000</v>
      </c>
      <c r="E2" s="4">
        <f>SUMIFS(Budget!J2:J200,Budget!A2:A200,A2)</f>
        <v>6800</v>
      </c>
      <c r="F2" s="5">
        <f>IF(Setup!$B$5=0,0,C2/Setup!$B$5)</f>
        <v>0.21777777777777776</v>
      </c>
      <c r="G2" s="4">
        <f>IF(Setup!$B$4=0,0,C2/Setup!$B$4)</f>
        <v>81.66666666666667</v>
      </c>
    </row>
    <row r="3" spans="1:7" x14ac:dyDescent="0.25">
      <c r="A3" t="s">
        <v>29</v>
      </c>
      <c r="B3" s="4">
        <f>SUMIFS(Budget!F2:F200,Budget!A2:A200,A3)</f>
        <v>13320</v>
      </c>
      <c r="C3" s="4">
        <f>SUMIFS(Budget!M2:M200,Budget!A2:A200,A3)</f>
        <v>13560</v>
      </c>
      <c r="D3" s="4">
        <f>SUMIFS(Budget!I2:I200,Budget!A2:A200,A3)</f>
        <v>1500</v>
      </c>
      <c r="E3" s="4">
        <f>SUMIFS(Budget!J2:J200,Budget!A2:A200,A3)</f>
        <v>12060</v>
      </c>
      <c r="F3" s="5">
        <f>IF(Setup!$B$5=0,0,C3/Setup!$B$5)</f>
        <v>0.30133333333333334</v>
      </c>
      <c r="G3" s="4">
        <f>IF(Setup!$B$4=0,0,C3/Setup!$B$4)</f>
        <v>113</v>
      </c>
    </row>
    <row r="4" spans="1:7" x14ac:dyDescent="0.25">
      <c r="A4" t="s">
        <v>36</v>
      </c>
      <c r="B4" s="4">
        <f>SUMIFS(Budget!F2:F200,Budget!A2:A200,A4)</f>
        <v>5400</v>
      </c>
      <c r="C4" s="4">
        <f>SUMIFS(Budget!M2:M200,Budget!A2:A200,A4)</f>
        <v>5600</v>
      </c>
      <c r="D4" s="4">
        <f>SUMIFS(Budget!I2:I200,Budget!A2:A200,A4)</f>
        <v>1000</v>
      </c>
      <c r="E4" s="4">
        <f>SUMIFS(Budget!J2:J200,Budget!A2:A200,A4)</f>
        <v>4600</v>
      </c>
      <c r="F4" s="5">
        <f>IF(Setup!$B$5=0,0,C4/Setup!$B$5)</f>
        <v>0.12444444444444444</v>
      </c>
      <c r="G4" s="4">
        <f>IF(Setup!$B$4=0,0,C4/Setup!$B$4)</f>
        <v>46.666666666666664</v>
      </c>
    </row>
    <row r="5" spans="1:7" x14ac:dyDescent="0.25">
      <c r="A5" t="s">
        <v>40</v>
      </c>
      <c r="B5" s="4">
        <f>SUMIFS(Budget!F2:F200,Budget!A2:A200,A5)</f>
        <v>1500</v>
      </c>
      <c r="C5" s="4">
        <f>SUMIFS(Budget!M2:M200,Budget!A2:A200,A5)</f>
        <v>1450</v>
      </c>
      <c r="D5" s="4">
        <f>SUMIFS(Budget!I2:I200,Budget!A2:A200,A5)</f>
        <v>500</v>
      </c>
      <c r="E5" s="4">
        <f>SUMIFS(Budget!J2:J200,Budget!A2:A200,A5)</f>
        <v>950</v>
      </c>
      <c r="F5" s="5">
        <f>IF(Setup!$B$5=0,0,C5/Setup!$B$5)</f>
        <v>0.03222222222222222</v>
      </c>
      <c r="G5" s="4">
        <f>IF(Setup!$B$4=0,0,C5/Setup!$B$4)</f>
        <v>12.083333333333334</v>
      </c>
    </row>
    <row r="6" spans="1:7" x14ac:dyDescent="0.25">
      <c r="A6" t="s">
        <v>43</v>
      </c>
      <c r="B6" s="4">
        <f>SUMIFS(Budget!F2:F200,Budget!A2:A200,A6)</f>
        <v>2400</v>
      </c>
      <c r="C6" s="4">
        <f>SUMIFS(Budget!M2:M200,Budget!A2:A200,A6)</f>
        <v>2650</v>
      </c>
      <c r="D6" s="4">
        <f>SUMIFS(Budget!I2:I200,Budget!A2:A200,A6)</f>
        <v>0</v>
      </c>
      <c r="E6" s="4">
        <f>SUMIFS(Budget!J2:J200,Budget!A2:A200,A6)</f>
        <v>2650</v>
      </c>
      <c r="F6" s="5">
        <f>IF(Setup!$B$5=0,0,C6/Setup!$B$5)</f>
        <v>0.058888888888888886</v>
      </c>
      <c r="G6" s="4">
        <f>IF(Setup!$B$4=0,0,C6/Setup!$B$4)</f>
        <v>22.083333333333332</v>
      </c>
    </row>
    <row r="7" spans="1:7" x14ac:dyDescent="0.25">
      <c r="A7" t="s">
        <v>46</v>
      </c>
      <c r="B7" s="4">
        <f>SUMIFS(Budget!F2:F200,Budget!A2:A200,A7)</f>
        <v>2700</v>
      </c>
      <c r="C7" s="4">
        <f>SUMIFS(Budget!M2:M200,Budget!A2:A200,A7)</f>
        <v>2490</v>
      </c>
      <c r="D7" s="4">
        <f>SUMIFS(Budget!I2:I200,Budget!A2:A200,A7)</f>
        <v>825</v>
      </c>
      <c r="E7" s="4">
        <f>SUMIFS(Budget!J2:J200,Budget!A2:A200,A7)</f>
        <v>1665</v>
      </c>
      <c r="F7" s="5">
        <f>IF(Setup!$B$5=0,0,C7/Setup!$B$5)</f>
        <v>0.05533333333333333</v>
      </c>
      <c r="G7" s="4">
        <f>IF(Setup!$B$4=0,0,C7/Setup!$B$4)</f>
        <v>20.75</v>
      </c>
    </row>
    <row r="8" spans="1:7" x14ac:dyDescent="0.25">
      <c r="A8" t="s">
        <v>52</v>
      </c>
      <c r="B8" s="4">
        <f>SUMIFS(Budget!F2:F200,Budget!A2:A200,A8)</f>
        <v>650</v>
      </c>
      <c r="C8" s="4">
        <f>SUMIFS(Budget!M2:M200,Budget!A2:A200,A8)</f>
        <v>700</v>
      </c>
      <c r="D8" s="4">
        <f>SUMIFS(Budget!I2:I200,Budget!A2:A200,A8)</f>
        <v>0</v>
      </c>
      <c r="E8" s="4">
        <f>SUMIFS(Budget!J2:J200,Budget!A2:A200,A8)</f>
        <v>700</v>
      </c>
      <c r="F8" s="5">
        <f>IF(Setup!$B$5=0,0,C8/Setup!$B$5)</f>
        <v>0.015555555555555555</v>
      </c>
      <c r="G8" s="4">
        <f>IF(Setup!$B$4=0,0,C8/Setup!$B$4)</f>
        <v>5.833333333333333</v>
      </c>
    </row>
    <row r="9" spans="1:7" x14ac:dyDescent="0.25">
      <c r="A9" t="s">
        <v>55</v>
      </c>
      <c r="B9" s="4">
        <f>SUMIFS(Budget!F2:F200,Budget!A2:A200,A9)</f>
        <v>720</v>
      </c>
      <c r="C9" s="4">
        <f>SUMIFS(Budget!M2:M200,Budget!A2:A200,A9)</f>
        <v>690</v>
      </c>
      <c r="D9" s="4">
        <f>SUMIFS(Budget!I2:I200,Budget!A2:A200,A9)</f>
        <v>0</v>
      </c>
      <c r="E9" s="4">
        <f>SUMIFS(Budget!J2:J200,Budget!A2:A200,A9)</f>
        <v>690</v>
      </c>
      <c r="F9" s="5">
        <f>IF(Setup!$B$5=0,0,C9/Setup!$B$5)</f>
        <v>0.015333333333333332</v>
      </c>
      <c r="G9" s="4">
        <f>IF(Setup!$B$4=0,0,C9/Setup!$B$4)</f>
        <v>5.75</v>
      </c>
    </row>
    <row r="10" spans="1:7" x14ac:dyDescent="0.25">
      <c r="A10" t="s">
        <v>57</v>
      </c>
      <c r="B10" s="4">
        <f>SUMIFS(Budget!F2:F200,Budget!A2:A200,A10)</f>
        <v>450</v>
      </c>
      <c r="C10" s="4">
        <f>SUMIFS(Budget!M2:M200,Budget!A2:A200,A10)</f>
        <v>450</v>
      </c>
      <c r="D10" s="4">
        <f>SUMIFS(Budget!I2:I200,Budget!A2:A200,A10)</f>
        <v>0</v>
      </c>
      <c r="E10" s="4">
        <f>SUMIFS(Budget!J2:J200,Budget!A2:A200,A10)</f>
        <v>450</v>
      </c>
      <c r="F10" s="5">
        <f>IF(Setup!$B$5=0,0,C10/Setup!$B$5)</f>
        <v>0.01</v>
      </c>
      <c r="G10" s="4">
        <f>IF(Setup!$B$4=0,0,C10/Setup!$B$4)</f>
        <v>3.75</v>
      </c>
    </row>
    <row r="11" spans="1:7" x14ac:dyDescent="0.25">
      <c r="A11" t="s">
        <v>60</v>
      </c>
      <c r="B11" s="4">
        <f>SUMIFS(Budget!F2:F200,Budget!A2:A200,A11)</f>
        <v>1440</v>
      </c>
      <c r="C11" s="4">
        <f>SUMIFS(Budget!M2:M200,Budget!A2:A200,A11)</f>
        <v>1380</v>
      </c>
      <c r="D11" s="4">
        <f>SUMIFS(Budget!I2:I200,Budget!A2:A200,A11)</f>
        <v>0</v>
      </c>
      <c r="E11" s="4">
        <f>SUMIFS(Budget!J2:J200,Budget!A2:A200,A11)</f>
        <v>1380</v>
      </c>
      <c r="F11" s="5">
        <f>IF(Setup!$B$5=0,0,C11/Setup!$B$5)</f>
        <v>0.030666666666666665</v>
      </c>
      <c r="G11" s="4">
        <f>IF(Setup!$B$4=0,0,C11/Setup!$B$4)</f>
        <v>11.5</v>
      </c>
    </row>
    <row r="12" spans="1:7" x14ac:dyDescent="0.25">
      <c r="A12" t="s">
        <v>63</v>
      </c>
      <c r="B12" s="4">
        <f>SUMIFS(Budget!F2:F200,Budget!A2:A200,A12)</f>
        <v>460</v>
      </c>
      <c r="C12" s="4">
        <f>SUMIFS(Budget!M2:M200,Budget!A2:A200,A12)</f>
        <v>460</v>
      </c>
      <c r="D12" s="4">
        <f>SUMIFS(Budget!I2:I200,Budget!A2:A200,A12)</f>
        <v>0</v>
      </c>
      <c r="E12" s="4">
        <f>SUMIFS(Budget!J2:J200,Budget!A2:A200,A12)</f>
        <v>460</v>
      </c>
      <c r="F12" s="5">
        <f>IF(Setup!$B$5=0,0,C12/Setup!$B$5)</f>
        <v>0.010222222222222223</v>
      </c>
      <c r="G12" s="4">
        <f>IF(Setup!$B$4=0,0,C12/Setup!$B$4)</f>
        <v>3.8333333333333335</v>
      </c>
    </row>
    <row r="13" spans="1:7" x14ac:dyDescent="0.25">
      <c r="A13" t="s">
        <v>68</v>
      </c>
      <c r="B13" s="4">
        <f>SUMIFS(Budget!F2:F200,Budget!A2:A200,A13)</f>
        <v>1600</v>
      </c>
      <c r="C13" s="4">
        <f>SUMIFS(Budget!M2:M200,Budget!A2:A200,A13)</f>
        <v>1720</v>
      </c>
      <c r="D13" s="4">
        <f>SUMIFS(Budget!I2:I200,Budget!A2:A200,A13)</f>
        <v>1720</v>
      </c>
      <c r="E13" s="4">
        <f>SUMIFS(Budget!J2:J200,Budget!A2:A200,A13)</f>
        <v>0</v>
      </c>
      <c r="F13" s="5">
        <f>IF(Setup!$B$5=0,0,C13/Setup!$B$5)</f>
        <v>0.03822222222222222</v>
      </c>
      <c r="G13" s="4">
        <f>IF(Setup!$B$4=0,0,C13/Setup!$B$4)</f>
        <v>14.333333333333334</v>
      </c>
    </row>
    <row r="14" spans="1:7" x14ac:dyDescent="0.25">
      <c r="A14" t="s">
        <v>71</v>
      </c>
      <c r="B14" s="4">
        <f>SUMIFS(Budget!F2:F200,Budget!A2:A200,A14)</f>
        <v>2510</v>
      </c>
      <c r="C14" s="4">
        <f>SUMIFS(Budget!M2:M200,Budget!A2:A200,A14)</f>
        <v>2510</v>
      </c>
      <c r="D14" s="4">
        <f>SUMIFS(Budget!I2:I200,Budget!A2:A200,A14)</f>
        <v>0</v>
      </c>
      <c r="E14" s="4">
        <f>SUMIFS(Budget!J2:J200,Budget!A2:A200,A14)</f>
        <v>2510</v>
      </c>
      <c r="F14" s="5">
        <f>IF(Setup!$B$5=0,0,C14/Setup!$B$5)</f>
        <v>0.05577777777777778</v>
      </c>
      <c r="G14" s="4">
        <f>IF(Setup!$B$4=0,0,C14/Setup!$B$4)</f>
        <v>20.916666666666668</v>
      </c>
    </row>
    <row r="15" spans="1:7" x14ac:dyDescent="0.25">
      <c r="A15" t="s">
        <v>78</v>
      </c>
      <c r="B15" s="4">
        <f>SUMIFS(Budget!F2:F200,Budget!A2:A200,A15)</f>
        <v>1500</v>
      </c>
      <c r="C15" s="4">
        <f>SUMIFS(Budget!M2:M200,Budget!A2:A200,A15)</f>
        <v>1500</v>
      </c>
      <c r="D15" s="4">
        <f>SUMIFS(Budget!I2:I200,Budget!A2:A200,A15)</f>
        <v>0</v>
      </c>
      <c r="E15" s="4">
        <f>SUMIFS(Budget!J2:J200,Budget!A2:A200,A15)</f>
        <v>1500</v>
      </c>
      <c r="F15" s="5">
        <f>IF(Setup!$B$5=0,0,C15/Setup!$B$5)</f>
        <v>0.03333333333333333</v>
      </c>
      <c r="G15" s="4">
        <f>IF(Setup!$B$4=0,0,C15/Setup!$B$4)</f>
        <v>12.5</v>
      </c>
    </row>
    <row r="16" spans="1:7" x14ac:dyDescent="0.25">
      <c r="A16" t="s">
        <v>100</v>
      </c>
      <c r="B16" s="4">
        <f>SUM(B2:B15)</f>
        <v>44450</v>
      </c>
      <c r="C16" s="4">
        <f>SUM(C2:C15)</f>
        <v>44960</v>
      </c>
      <c r="D16" s="4">
        <f>SUM(D2:D15)</f>
        <v>8545</v>
      </c>
      <c r="E16" s="4">
        <f>SUM(E2:E15)</f>
        <v>36415</v>
      </c>
      <c r="F16" s="5">
        <f>IF(Setup!$B$5=0,0,C16/Setup!$B$5)</f>
        <v>0.9991111111111111</v>
      </c>
      <c r="G16" s="4">
        <f>IF(Setup!$B$4=0,0,C16/Setup!$B$4)</f>
        <v>374.6666666666667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101</v>
      </c>
      <c r="B1" s="1" t="s">
        <v>102</v>
      </c>
      <c r="C1" s="1" t="s">
        <v>103</v>
      </c>
      <c r="D1" s="1" t="s">
        <v>8</v>
      </c>
      <c r="E1" s="1" t="s">
        <v>9</v>
      </c>
      <c r="F1" s="1" t="s">
        <v>104</v>
      </c>
    </row>
    <row r="2" spans="1:6" x14ac:dyDescent="0.25">
      <c r="A2" t="s">
        <v>28</v>
      </c>
      <c r="B2" s="4">
        <v>26000</v>
      </c>
      <c r="C2" s="4">
        <f>SUMIFS(Budget!M2:M200,Budget!H2:H200,A2)</f>
        <v>26450</v>
      </c>
      <c r="D2" s="4">
        <f>SUMIFS(Budget!I2:I200,Budget!H2:H200,A2)</f>
        <v>6220</v>
      </c>
      <c r="E2" s="4">
        <f>C2-D2</f>
        <v>20230</v>
      </c>
      <c r="F2" s="4">
        <f>B2-C2</f>
        <v>-450</v>
      </c>
    </row>
    <row r="3" spans="1:6" x14ac:dyDescent="0.25">
      <c r="A3" t="s">
        <v>32</v>
      </c>
      <c r="B3" s="4">
        <v>13500</v>
      </c>
      <c r="C3" s="4">
        <f>SUMIFS(Budget!M2:M200,Budget!H2:H200,A3)</f>
        <v>13000</v>
      </c>
      <c r="D3" s="4">
        <f>SUMIFS(Budget!I2:I200,Budget!H2:H200,A3)</f>
        <v>2325</v>
      </c>
      <c r="E3" s="4">
        <f>C3-D3</f>
        <v>10675</v>
      </c>
      <c r="F3" s="4">
        <f>B3-C3</f>
        <v>500</v>
      </c>
    </row>
    <row r="4" spans="1:6" x14ac:dyDescent="0.25">
      <c r="A4" t="s">
        <v>34</v>
      </c>
      <c r="B4" s="4">
        <v>5500</v>
      </c>
      <c r="C4" s="4">
        <f>SUMIFS(Budget!M2:M200,Budget!H2:H200,A4)</f>
        <v>5510</v>
      </c>
      <c r="D4" s="4">
        <f>SUMIFS(Budget!I2:I200,Budget!H2:H200,A4)</f>
        <v>0</v>
      </c>
      <c r="E4" s="4">
        <f>C4-D4</f>
        <v>5510</v>
      </c>
      <c r="F4" s="4">
        <f>B4-C4</f>
        <v>-10</v>
      </c>
    </row>
    <row r="5" spans="1:6" x14ac:dyDescent="0.25">
      <c r="A5" t="s">
        <v>100</v>
      </c>
      <c r="B5" s="4">
        <f>SUM(B2:B4)</f>
        <v>45000</v>
      </c>
      <c r="C5" s="4">
        <f>SUM(C2:C4)</f>
        <v>44960</v>
      </c>
      <c r="D5" s="4">
        <f>SUM(D2:D4)</f>
        <v>8545</v>
      </c>
      <c r="E5" s="4">
        <f>SUM(E2:E4)</f>
        <v>36415</v>
      </c>
      <c r="F5" s="4">
        <f>SUM(F2:F4)</f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Budget</vt:lpstr>
      <vt:lpstr>Payments</vt:lpstr>
      <vt:lpstr>By Category</vt:lpstr>
      <vt:lpstr>Who's Paying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Wedding Budget</dc:title>
  <dc:subject/>
  <dc:description/>
  <cp:keywords/>
  <cp:category/>
  <cp:lastModifiedBy>Unknown</cp:lastModifiedBy>
  <dcterms:created xsi:type="dcterms:W3CDTF">2026-10-18T23:17:44Z</dcterms:created>
  <dcterms:modified xsi:type="dcterms:W3CDTF">2026-10-18T23:17:44Z</dcterms:modified>
</cp:coreProperties>
</file>